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6605" windowHeight="9195" tabRatio="802" firstSheet="1" activeTab="1"/>
  </bookViews>
  <sheets>
    <sheet name="mzdy" sheetId="1" r:id="rId1"/>
    <sheet name="Čerpanie" sheetId="12" r:id="rId2"/>
  </sheets>
  <calcPr calcId="125725"/>
</workbook>
</file>

<file path=xl/calcChain.xml><?xml version="1.0" encoding="utf-8"?>
<calcChain xmlns="http://schemas.openxmlformats.org/spreadsheetml/2006/main">
  <c r="D134" i="12"/>
  <c r="C134"/>
  <c r="B117"/>
  <c r="C117"/>
  <c r="D117"/>
  <c r="B118"/>
  <c r="E134" l="1"/>
  <c r="C89" l="1"/>
  <c r="D89"/>
  <c r="E89"/>
  <c r="F89"/>
  <c r="G89"/>
  <c r="H89"/>
  <c r="I89"/>
  <c r="J89"/>
  <c r="K89"/>
  <c r="L89"/>
  <c r="M89"/>
  <c r="N89"/>
  <c r="B89"/>
  <c r="C92"/>
  <c r="D92"/>
  <c r="E92"/>
  <c r="F92"/>
  <c r="G92"/>
  <c r="H92"/>
  <c r="I92"/>
  <c r="J92"/>
  <c r="K92"/>
  <c r="L92"/>
  <c r="M92"/>
  <c r="N92"/>
  <c r="B92"/>
  <c r="C42"/>
  <c r="D42"/>
  <c r="E42"/>
  <c r="F42"/>
  <c r="G42"/>
  <c r="H42"/>
  <c r="I42"/>
  <c r="J42"/>
  <c r="J59" s="1"/>
  <c r="K42"/>
  <c r="L42"/>
  <c r="M42"/>
  <c r="N42"/>
  <c r="B42"/>
  <c r="D112"/>
  <c r="E21"/>
  <c r="E39" s="1"/>
  <c r="C21"/>
  <c r="C39" s="1"/>
  <c r="B21"/>
  <c r="B39" s="1"/>
  <c r="C112"/>
  <c r="K52"/>
  <c r="N52" s="1"/>
  <c r="K53"/>
  <c r="N53" s="1"/>
  <c r="K54"/>
  <c r="N54" s="1"/>
  <c r="K55"/>
  <c r="K56"/>
  <c r="N56" s="1"/>
  <c r="N91" s="1"/>
  <c r="N55"/>
  <c r="F57"/>
  <c r="C57"/>
  <c r="D57"/>
  <c r="E57"/>
  <c r="B57"/>
  <c r="C91"/>
  <c r="D91"/>
  <c r="E91"/>
  <c r="F91"/>
  <c r="G91"/>
  <c r="H91"/>
  <c r="I91"/>
  <c r="J91"/>
  <c r="K91"/>
  <c r="L91"/>
  <c r="M91"/>
  <c r="B91"/>
  <c r="G57"/>
  <c r="H57"/>
  <c r="I57"/>
  <c r="J57"/>
  <c r="L57"/>
  <c r="M57"/>
  <c r="C48"/>
  <c r="D48"/>
  <c r="E48"/>
  <c r="F48"/>
  <c r="G48"/>
  <c r="H48"/>
  <c r="I48"/>
  <c r="J48"/>
  <c r="L48"/>
  <c r="M48"/>
  <c r="B48"/>
  <c r="K130"/>
  <c r="H130"/>
  <c r="J130" s="1"/>
  <c r="E130"/>
  <c r="B130"/>
  <c r="D116"/>
  <c r="H114"/>
  <c r="H117" s="1"/>
  <c r="B114"/>
  <c r="D113"/>
  <c r="K110"/>
  <c r="I110"/>
  <c r="J110" s="1"/>
  <c r="K109"/>
  <c r="J109"/>
  <c r="I109"/>
  <c r="K108"/>
  <c r="I108"/>
  <c r="J108" s="1"/>
  <c r="D108"/>
  <c r="K107"/>
  <c r="I107"/>
  <c r="J107" s="1"/>
  <c r="K106"/>
  <c r="J106"/>
  <c r="I106"/>
  <c r="K105"/>
  <c r="I105"/>
  <c r="J105" s="1"/>
  <c r="K104"/>
  <c r="I104"/>
  <c r="J104" s="1"/>
  <c r="K103"/>
  <c r="I103"/>
  <c r="J103" s="1"/>
  <c r="K102"/>
  <c r="I102"/>
  <c r="J102" s="1"/>
  <c r="D100"/>
  <c r="C99"/>
  <c r="D99" s="1"/>
  <c r="K96"/>
  <c r="K114" s="1"/>
  <c r="K117" s="1"/>
  <c r="I96"/>
  <c r="I114" s="1"/>
  <c r="I117" s="1"/>
  <c r="M93"/>
  <c r="L93"/>
  <c r="J93"/>
  <c r="I93"/>
  <c r="H93"/>
  <c r="G93"/>
  <c r="F93"/>
  <c r="E93"/>
  <c r="D93"/>
  <c r="C93"/>
  <c r="B93"/>
  <c r="M90"/>
  <c r="L90"/>
  <c r="J90"/>
  <c r="I90"/>
  <c r="H90"/>
  <c r="G90"/>
  <c r="F90"/>
  <c r="E90"/>
  <c r="D90"/>
  <c r="C90"/>
  <c r="B90"/>
  <c r="M88"/>
  <c r="L88"/>
  <c r="J88"/>
  <c r="I88"/>
  <c r="H88"/>
  <c r="G88"/>
  <c r="F88"/>
  <c r="E88"/>
  <c r="D88"/>
  <c r="C88"/>
  <c r="B88"/>
  <c r="M87"/>
  <c r="L87"/>
  <c r="J87"/>
  <c r="I87"/>
  <c r="H87"/>
  <c r="G87"/>
  <c r="F87"/>
  <c r="E87"/>
  <c r="D87"/>
  <c r="C87"/>
  <c r="B87"/>
  <c r="M86"/>
  <c r="L86"/>
  <c r="J86"/>
  <c r="I86"/>
  <c r="H86"/>
  <c r="G86"/>
  <c r="F86"/>
  <c r="E86"/>
  <c r="D86"/>
  <c r="C86"/>
  <c r="B86"/>
  <c r="M85"/>
  <c r="L85"/>
  <c r="J85"/>
  <c r="I85"/>
  <c r="H85"/>
  <c r="G85"/>
  <c r="F85"/>
  <c r="E85"/>
  <c r="D85"/>
  <c r="C85"/>
  <c r="B85"/>
  <c r="M84"/>
  <c r="L84"/>
  <c r="J84"/>
  <c r="I84"/>
  <c r="H84"/>
  <c r="G84"/>
  <c r="F84"/>
  <c r="E84"/>
  <c r="D84"/>
  <c r="C84"/>
  <c r="B84"/>
  <c r="M83"/>
  <c r="L83"/>
  <c r="J83"/>
  <c r="I83"/>
  <c r="H83"/>
  <c r="G83"/>
  <c r="F83"/>
  <c r="E83"/>
  <c r="D83"/>
  <c r="C83"/>
  <c r="B83"/>
  <c r="M81"/>
  <c r="L81"/>
  <c r="J81"/>
  <c r="I81"/>
  <c r="H81"/>
  <c r="G81"/>
  <c r="F81"/>
  <c r="E81"/>
  <c r="D81"/>
  <c r="B81"/>
  <c r="M80"/>
  <c r="L80"/>
  <c r="J80"/>
  <c r="I80"/>
  <c r="H80"/>
  <c r="G80"/>
  <c r="F80"/>
  <c r="E80"/>
  <c r="D80"/>
  <c r="C80"/>
  <c r="B80"/>
  <c r="M79"/>
  <c r="L79"/>
  <c r="J79"/>
  <c r="I79"/>
  <c r="H79"/>
  <c r="G79"/>
  <c r="F79"/>
  <c r="E79"/>
  <c r="D79"/>
  <c r="C79"/>
  <c r="B79"/>
  <c r="M78"/>
  <c r="L78"/>
  <c r="J78"/>
  <c r="I78"/>
  <c r="H78"/>
  <c r="G78"/>
  <c r="F78"/>
  <c r="E78"/>
  <c r="D78"/>
  <c r="C78"/>
  <c r="B78"/>
  <c r="M77"/>
  <c r="I77"/>
  <c r="G77"/>
  <c r="D77"/>
  <c r="M73"/>
  <c r="L73"/>
  <c r="J73"/>
  <c r="I73"/>
  <c r="H73"/>
  <c r="G73"/>
  <c r="F73"/>
  <c r="E73"/>
  <c r="D73"/>
  <c r="C73"/>
  <c r="B73"/>
  <c r="M71"/>
  <c r="L71"/>
  <c r="J71"/>
  <c r="I71"/>
  <c r="H71"/>
  <c r="G71"/>
  <c r="F71"/>
  <c r="E71"/>
  <c r="D71"/>
  <c r="C71"/>
  <c r="B71"/>
  <c r="M68"/>
  <c r="L68"/>
  <c r="J68"/>
  <c r="I68"/>
  <c r="H68"/>
  <c r="G68"/>
  <c r="F68"/>
  <c r="E68"/>
  <c r="D68"/>
  <c r="C68"/>
  <c r="B68"/>
  <c r="K67"/>
  <c r="N67" s="1"/>
  <c r="K66"/>
  <c r="K73" s="1"/>
  <c r="K65"/>
  <c r="K64"/>
  <c r="N64" s="1"/>
  <c r="L59"/>
  <c r="I59"/>
  <c r="H59"/>
  <c r="G59"/>
  <c r="F59"/>
  <c r="E59"/>
  <c r="D59"/>
  <c r="K51"/>
  <c r="K50"/>
  <c r="C59"/>
  <c r="K47"/>
  <c r="N47" s="1"/>
  <c r="N46"/>
  <c r="K46"/>
  <c r="K45"/>
  <c r="N45" s="1"/>
  <c r="K44"/>
  <c r="K48" s="1"/>
  <c r="K43"/>
  <c r="M40"/>
  <c r="I40"/>
  <c r="G40"/>
  <c r="D40"/>
  <c r="M39"/>
  <c r="I39"/>
  <c r="G39"/>
  <c r="D39"/>
  <c r="M37"/>
  <c r="L37"/>
  <c r="I37"/>
  <c r="G37"/>
  <c r="D37"/>
  <c r="K36"/>
  <c r="K35"/>
  <c r="N35" s="1"/>
  <c r="K34"/>
  <c r="N34" s="1"/>
  <c r="K33"/>
  <c r="N33" s="1"/>
  <c r="K32"/>
  <c r="K31"/>
  <c r="N31" s="1"/>
  <c r="N86" s="1"/>
  <c r="C110" s="1"/>
  <c r="D110" s="1"/>
  <c r="K30"/>
  <c r="N30" s="1"/>
  <c r="K29"/>
  <c r="N29" s="1"/>
  <c r="K28"/>
  <c r="N28" s="1"/>
  <c r="K27"/>
  <c r="N27" s="1"/>
  <c r="K26"/>
  <c r="N26" s="1"/>
  <c r="K25"/>
  <c r="N25" s="1"/>
  <c r="K24"/>
  <c r="N24" s="1"/>
  <c r="N23"/>
  <c r="K23"/>
  <c r="J37"/>
  <c r="H40"/>
  <c r="F37"/>
  <c r="C37"/>
  <c r="B37"/>
  <c r="M19"/>
  <c r="I19"/>
  <c r="H19"/>
  <c r="G19"/>
  <c r="D19"/>
  <c r="C19"/>
  <c r="B19"/>
  <c r="K18"/>
  <c r="N18" s="1"/>
  <c r="N17"/>
  <c r="K17"/>
  <c r="K83" s="1"/>
  <c r="K16"/>
  <c r="K85" s="1"/>
  <c r="K15"/>
  <c r="N15" s="1"/>
  <c r="K14"/>
  <c r="K88" s="1"/>
  <c r="K13"/>
  <c r="K84" s="1"/>
  <c r="K12"/>
  <c r="N12" s="1"/>
  <c r="N11"/>
  <c r="K11"/>
  <c r="N10"/>
  <c r="K10"/>
  <c r="K93" s="1"/>
  <c r="N9"/>
  <c r="N80" s="1"/>
  <c r="K9"/>
  <c r="K80" s="1"/>
  <c r="N8"/>
  <c r="K8"/>
  <c r="K79" s="1"/>
  <c r="N7"/>
  <c r="K7"/>
  <c r="L40"/>
  <c r="J77"/>
  <c r="F77"/>
  <c r="E77"/>
  <c r="K5"/>
  <c r="N5" s="1"/>
  <c r="B59" l="1"/>
  <c r="N66"/>
  <c r="N73" s="1"/>
  <c r="K68"/>
  <c r="N65"/>
  <c r="N44"/>
  <c r="N48" s="1"/>
  <c r="N83"/>
  <c r="C105" s="1"/>
  <c r="D105" s="1"/>
  <c r="N13"/>
  <c r="C97" s="1"/>
  <c r="D97" s="1"/>
  <c r="K57"/>
  <c r="N57" s="1"/>
  <c r="K59"/>
  <c r="N79"/>
  <c r="C103" s="1"/>
  <c r="D103" s="1"/>
  <c r="N93"/>
  <c r="C104" s="1"/>
  <c r="D104" s="1"/>
  <c r="N14"/>
  <c r="N88" s="1"/>
  <c r="C106" s="1"/>
  <c r="D106" s="1"/>
  <c r="N16"/>
  <c r="N85" s="1"/>
  <c r="C107" s="1"/>
  <c r="D107" s="1"/>
  <c r="H39"/>
  <c r="N43"/>
  <c r="J114"/>
  <c r="J117" s="1"/>
  <c r="F39"/>
  <c r="K87"/>
  <c r="K90"/>
  <c r="I75"/>
  <c r="L39"/>
  <c r="N78"/>
  <c r="C102" s="1"/>
  <c r="D102" s="1"/>
  <c r="D75"/>
  <c r="M75"/>
  <c r="N128"/>
  <c r="J39"/>
  <c r="E40"/>
  <c r="K78"/>
  <c r="G75"/>
  <c r="C75"/>
  <c r="C101"/>
  <c r="D101" s="1"/>
  <c r="M128"/>
  <c r="D130"/>
  <c r="B75"/>
  <c r="N32"/>
  <c r="N87" s="1"/>
  <c r="C111" s="1"/>
  <c r="D111" s="1"/>
  <c r="N36"/>
  <c r="N90" s="1"/>
  <c r="E37"/>
  <c r="C40"/>
  <c r="K71"/>
  <c r="H77"/>
  <c r="L77"/>
  <c r="K6"/>
  <c r="F19"/>
  <c r="F75" s="1"/>
  <c r="J19"/>
  <c r="J75" s="1"/>
  <c r="K22"/>
  <c r="N22" s="1"/>
  <c r="H37"/>
  <c r="H75" s="1"/>
  <c r="B40"/>
  <c r="F40"/>
  <c r="J40"/>
  <c r="N50"/>
  <c r="C77"/>
  <c r="C81"/>
  <c r="K81"/>
  <c r="K86"/>
  <c r="E19"/>
  <c r="K21"/>
  <c r="K39" s="1"/>
  <c r="N51"/>
  <c r="B77"/>
  <c r="L19"/>
  <c r="L75" s="1"/>
  <c r="N68" l="1"/>
  <c r="N71"/>
  <c r="N59"/>
  <c r="F99" s="1"/>
  <c r="C109"/>
  <c r="D109" s="1"/>
  <c r="N84"/>
  <c r="E75"/>
  <c r="N21"/>
  <c r="N39" s="1"/>
  <c r="E96" s="1"/>
  <c r="N81"/>
  <c r="C98" s="1"/>
  <c r="D98" s="1"/>
  <c r="N37"/>
  <c r="K37"/>
  <c r="K40"/>
  <c r="N6"/>
  <c r="K77"/>
  <c r="K19"/>
  <c r="E114" l="1"/>
  <c r="E117" s="1"/>
  <c r="N115" s="1"/>
  <c r="K75"/>
  <c r="N77"/>
  <c r="N19"/>
  <c r="N75" s="1"/>
  <c r="N40"/>
  <c r="C96" l="1"/>
  <c r="N94"/>
  <c r="D96" l="1"/>
  <c r="D114" s="1"/>
  <c r="C114"/>
  <c r="M115" s="1"/>
  <c r="T44" i="1" l="1"/>
  <c r="R42" l="1"/>
  <c r="R47" s="1"/>
  <c r="P5" l="1"/>
  <c r="P6"/>
  <c r="P8"/>
  <c r="P9"/>
  <c r="P10"/>
  <c r="P11"/>
  <c r="P12"/>
  <c r="P16"/>
  <c r="O31" l="1"/>
  <c r="L31"/>
  <c r="I31"/>
  <c r="F31"/>
  <c r="C31"/>
  <c r="Q23"/>
  <c r="N23"/>
  <c r="K23"/>
  <c r="H23"/>
  <c r="E23"/>
  <c r="P22"/>
  <c r="P43" s="1"/>
  <c r="M22"/>
  <c r="M43" s="1"/>
  <c r="J22"/>
  <c r="J43" s="1"/>
  <c r="G22"/>
  <c r="G43" s="1"/>
  <c r="D22"/>
  <c r="D43" s="1"/>
  <c r="P21"/>
  <c r="M21"/>
  <c r="J21"/>
  <c r="G21"/>
  <c r="D21"/>
  <c r="Q20"/>
  <c r="N20"/>
  <c r="K20"/>
  <c r="P19"/>
  <c r="M19"/>
  <c r="J19"/>
  <c r="G19"/>
  <c r="D19"/>
  <c r="P18"/>
  <c r="M18"/>
  <c r="J18"/>
  <c r="M16"/>
  <c r="J16"/>
  <c r="G16"/>
  <c r="D16"/>
  <c r="Q14"/>
  <c r="N14"/>
  <c r="K14"/>
  <c r="H14"/>
  <c r="E14"/>
  <c r="P37"/>
  <c r="M12"/>
  <c r="M37" s="1"/>
  <c r="J12"/>
  <c r="J37" s="1"/>
  <c r="G12"/>
  <c r="G37" s="1"/>
  <c r="D12"/>
  <c r="D37" s="1"/>
  <c r="M11"/>
  <c r="J11"/>
  <c r="G11"/>
  <c r="D11"/>
  <c r="M10"/>
  <c r="J10"/>
  <c r="G10"/>
  <c r="D10"/>
  <c r="M9"/>
  <c r="J9"/>
  <c r="G9"/>
  <c r="D9"/>
  <c r="P14"/>
  <c r="M8"/>
  <c r="J8"/>
  <c r="G8"/>
  <c r="D8"/>
  <c r="Q7"/>
  <c r="N7"/>
  <c r="K7"/>
  <c r="H7"/>
  <c r="H18" s="1"/>
  <c r="H20" s="1"/>
  <c r="E7"/>
  <c r="E18" s="1"/>
  <c r="E20" s="1"/>
  <c r="M6"/>
  <c r="J6"/>
  <c r="G6"/>
  <c r="D6"/>
  <c r="P7"/>
  <c r="P36" s="1"/>
  <c r="M5"/>
  <c r="J5"/>
  <c r="G5"/>
  <c r="D5"/>
  <c r="Q15" l="1"/>
  <c r="Q17" s="1"/>
  <c r="Q24" s="1"/>
  <c r="Q26" s="1"/>
  <c r="J39"/>
  <c r="P20"/>
  <c r="D23"/>
  <c r="P23"/>
  <c r="M20"/>
  <c r="E15"/>
  <c r="E17" s="1"/>
  <c r="E24" s="1"/>
  <c r="E26" s="1"/>
  <c r="K15"/>
  <c r="K17" s="1"/>
  <c r="K24" s="1"/>
  <c r="K26" s="1"/>
  <c r="G18"/>
  <c r="G39" s="1"/>
  <c r="H15"/>
  <c r="H17" s="1"/>
  <c r="H24" s="1"/>
  <c r="H26" s="1"/>
  <c r="N15"/>
  <c r="N17" s="1"/>
  <c r="N24" s="1"/>
  <c r="N26" s="1"/>
  <c r="P39"/>
  <c r="M39"/>
  <c r="J23"/>
  <c r="G23"/>
  <c r="D7"/>
  <c r="D36" s="1"/>
  <c r="J7"/>
  <c r="J36" s="1"/>
  <c r="G7"/>
  <c r="G36" s="1"/>
  <c r="M7"/>
  <c r="M36" s="1"/>
  <c r="D14"/>
  <c r="D38" s="1"/>
  <c r="J14"/>
  <c r="J38" s="1"/>
  <c r="J42" s="1"/>
  <c r="P15"/>
  <c r="P17" s="1"/>
  <c r="P38"/>
  <c r="G14"/>
  <c r="M14"/>
  <c r="D18"/>
  <c r="J20"/>
  <c r="M23"/>
  <c r="A33"/>
  <c r="G20" l="1"/>
  <c r="J15"/>
  <c r="J17" s="1"/>
  <c r="J24" s="1"/>
  <c r="P24"/>
  <c r="P34" s="1"/>
  <c r="P42"/>
  <c r="P46" s="1"/>
  <c r="D15"/>
  <c r="D17" s="1"/>
  <c r="M15"/>
  <c r="M17" s="1"/>
  <c r="M24" s="1"/>
  <c r="M38"/>
  <c r="M42" s="1"/>
  <c r="D20"/>
  <c r="D39"/>
  <c r="G15"/>
  <c r="G17" s="1"/>
  <c r="G24" s="1"/>
  <c r="G38"/>
  <c r="G42" s="1"/>
  <c r="P26" l="1"/>
  <c r="D24"/>
  <c r="D34" s="1"/>
  <c r="Q29"/>
  <c r="P29"/>
  <c r="M34"/>
  <c r="M26"/>
  <c r="J34"/>
  <c r="J26"/>
  <c r="G34"/>
  <c r="G26"/>
  <c r="D42"/>
  <c r="H42" s="1"/>
  <c r="D26" l="1"/>
  <c r="P30"/>
  <c r="P31" s="1"/>
  <c r="P32" s="1"/>
  <c r="E29"/>
  <c r="D29"/>
  <c r="H29"/>
  <c r="G29"/>
  <c r="K29"/>
  <c r="J29"/>
  <c r="N29"/>
  <c r="M29"/>
  <c r="Q30"/>
  <c r="Q31" s="1"/>
  <c r="Q32" s="1"/>
  <c r="M30" l="1"/>
  <c r="M31" s="1"/>
  <c r="M32" s="1"/>
  <c r="E30"/>
  <c r="E31" s="1"/>
  <c r="J30"/>
  <c r="J31" s="1"/>
  <c r="J32" s="1"/>
  <c r="G30"/>
  <c r="G31" s="1"/>
  <c r="G32" s="1"/>
  <c r="N30"/>
  <c r="N31" s="1"/>
  <c r="N32" s="1"/>
  <c r="K30"/>
  <c r="K31" s="1"/>
  <c r="K32" s="1"/>
  <c r="H30"/>
  <c r="H31" s="1"/>
  <c r="H32" s="1"/>
  <c r="D30"/>
  <c r="D31" s="1"/>
  <c r="D32" l="1"/>
  <c r="E32"/>
</calcChain>
</file>

<file path=xl/sharedStrings.xml><?xml version="1.0" encoding="utf-8"?>
<sst xmlns="http://schemas.openxmlformats.org/spreadsheetml/2006/main" count="279" uniqueCount="136">
  <si>
    <t xml:space="preserve">Potreba osobných nákladov na rok </t>
  </si>
  <si>
    <t>počet mesiacov</t>
  </si>
  <si>
    <t>Škola</t>
  </si>
  <si>
    <t>Zložka platu</t>
  </si>
  <si>
    <t>ZŠ 1-4</t>
  </si>
  <si>
    <t>ZŠ 5-9</t>
  </si>
  <si>
    <t>ŠKD</t>
  </si>
  <si>
    <t>ŠJ</t>
  </si>
  <si>
    <t>ZUŠ</t>
  </si>
  <si>
    <t>Obdobie</t>
  </si>
  <si>
    <t>v  €</t>
  </si>
  <si>
    <t xml:space="preserve">z toho mesačne </t>
  </si>
  <si>
    <t>Tarifný plat</t>
  </si>
  <si>
    <t>rok</t>
  </si>
  <si>
    <t>zvýšenie tarify</t>
  </si>
  <si>
    <t>Spolu</t>
  </si>
  <si>
    <t>Príplatky vedenie</t>
  </si>
  <si>
    <t xml:space="preserve">          triednictvo</t>
  </si>
  <si>
    <t xml:space="preserve">          kredit</t>
  </si>
  <si>
    <t xml:space="preserve">          ostatné </t>
  </si>
  <si>
    <t xml:space="preserve">          stále OP</t>
  </si>
  <si>
    <t>Funkčný plat</t>
  </si>
  <si>
    <t>nadčasy</t>
  </si>
  <si>
    <t>Os.prípl.,odmeny</t>
  </si>
  <si>
    <t>z tarifného platu</t>
  </si>
  <si>
    <t>Jubileá 50 r.</t>
  </si>
  <si>
    <t>dôchodok</t>
  </si>
  <si>
    <t>dochodca</t>
  </si>
  <si>
    <t>Celkom</t>
  </si>
  <si>
    <t>vyčerpané len mzdy</t>
  </si>
  <si>
    <t>rozpočet</t>
  </si>
  <si>
    <t>s odmenami</t>
  </si>
  <si>
    <t>bez odmien</t>
  </si>
  <si>
    <t xml:space="preserve">          mzdy</t>
  </si>
  <si>
    <t xml:space="preserve">          fondy</t>
  </si>
  <si>
    <t xml:space="preserve">          spolu</t>
  </si>
  <si>
    <t>mzdy spolu</t>
  </si>
  <si>
    <t>S p o l u</t>
  </si>
  <si>
    <t>Výdavky</t>
  </si>
  <si>
    <t>učebnice</t>
  </si>
  <si>
    <t>dopravné</t>
  </si>
  <si>
    <t>škola v prírode</t>
  </si>
  <si>
    <t>odchodné</t>
  </si>
  <si>
    <t>UPSVAR</t>
  </si>
  <si>
    <t>dary</t>
  </si>
  <si>
    <t>Iné</t>
  </si>
  <si>
    <t>PRÍJMY</t>
  </si>
  <si>
    <t>Spojená škola Mošovce</t>
  </si>
  <si>
    <t>5x mzdy</t>
  </si>
  <si>
    <t>ZŠ OK</t>
  </si>
  <si>
    <t>zp</t>
  </si>
  <si>
    <t>sp</t>
  </si>
  <si>
    <t>odstup</t>
  </si>
  <si>
    <t>mzdy 8/2019 posledné od Kataríny</t>
  </si>
  <si>
    <t>VP</t>
  </si>
  <si>
    <t>Zariadenie</t>
  </si>
  <si>
    <t>Mošovce</t>
  </si>
  <si>
    <t>mzdy</t>
  </si>
  <si>
    <t>odvody</t>
  </si>
  <si>
    <t>cestovné</t>
  </si>
  <si>
    <t>energie</t>
  </si>
  <si>
    <t>materiál</t>
  </si>
  <si>
    <t>opravy</t>
  </si>
  <si>
    <t>nájomné</t>
  </si>
  <si>
    <t>ostatné</t>
  </si>
  <si>
    <t>tovary</t>
  </si>
  <si>
    <t>transfery</t>
  </si>
  <si>
    <t>kapitálové</t>
  </si>
  <si>
    <t>dotácia PK</t>
  </si>
  <si>
    <t>asistent</t>
  </si>
  <si>
    <t>sociálne</t>
  </si>
  <si>
    <t>vzdel.p.</t>
  </si>
  <si>
    <t xml:space="preserve">vl.príjmy </t>
  </si>
  <si>
    <t>min. roky</t>
  </si>
  <si>
    <t>vl.príjmy opr. prek.</t>
  </si>
  <si>
    <t>lyžiarsky kurz</t>
  </si>
  <si>
    <t>VUC ZA</t>
  </si>
  <si>
    <t>ZŠ SPOLU</t>
  </si>
  <si>
    <t>čerpanie ZŠ PK</t>
  </si>
  <si>
    <t>dotácia OK</t>
  </si>
  <si>
    <t>KV-OK</t>
  </si>
  <si>
    <t>ÚP-AP</t>
  </si>
  <si>
    <t>rozpočet OK</t>
  </si>
  <si>
    <t>C e l k o m čerpanie</t>
  </si>
  <si>
    <t>z toho</t>
  </si>
  <si>
    <t>PK</t>
  </si>
  <si>
    <t>OK</t>
  </si>
  <si>
    <t>ZŠ OK KV</t>
  </si>
  <si>
    <t>z príjmov</t>
  </si>
  <si>
    <t>skutočnosť-dotácia</t>
  </si>
  <si>
    <t xml:space="preserve">čerpanie </t>
  </si>
  <si>
    <t>zostatok</t>
  </si>
  <si>
    <t>erasmus</t>
  </si>
  <si>
    <t xml:space="preserve">Dopravné </t>
  </si>
  <si>
    <t>z OcU sedmohlások</t>
  </si>
  <si>
    <t>SPOLU</t>
  </si>
  <si>
    <t>CELKOM</t>
  </si>
  <si>
    <t>Poplatky ŠKD</t>
  </si>
  <si>
    <t xml:space="preserve">Iné </t>
  </si>
  <si>
    <t>Prenájom</t>
  </si>
  <si>
    <t xml:space="preserve">Réžia </t>
  </si>
  <si>
    <t>poistné</t>
  </si>
  <si>
    <t>Vl.príjmy spolu</t>
  </si>
  <si>
    <t>dotácia</t>
  </si>
  <si>
    <t>čerpanie</t>
  </si>
  <si>
    <t>zostatok BU</t>
  </si>
  <si>
    <t>COVID 19</t>
  </si>
  <si>
    <t>vl.príjmy</t>
  </si>
  <si>
    <t>Účet 222</t>
  </si>
  <si>
    <t>minulé roky PK</t>
  </si>
  <si>
    <t>potraviny z príjmov</t>
  </si>
  <si>
    <t>Dary geografia</t>
  </si>
  <si>
    <t>Výdavky spolu/výdavky rozpočet</t>
  </si>
  <si>
    <t>"obedy zadarmo"</t>
  </si>
  <si>
    <t xml:space="preserve">HN  </t>
  </si>
  <si>
    <t>Účet 223</t>
  </si>
  <si>
    <t>Rozpočet</t>
  </si>
  <si>
    <t>stravovanie</t>
  </si>
  <si>
    <t>Poplatky ZUŠ</t>
  </si>
  <si>
    <t>Príjmy stravné</t>
  </si>
  <si>
    <t>Z minulých rokov</t>
  </si>
  <si>
    <t>Príjmy spolu / príjmy rozpočet spolu</t>
  </si>
  <si>
    <t>Odvod príjmov</t>
  </si>
  <si>
    <t>UPSVaR</t>
  </si>
  <si>
    <t>ŠJ UPSVaR</t>
  </si>
  <si>
    <t>Obedy zad.-mater.</t>
  </si>
  <si>
    <t>Vratky stravného</t>
  </si>
  <si>
    <t>UPSVaR ŠJ</t>
  </si>
  <si>
    <t>FOLK</t>
  </si>
  <si>
    <t>TRAIN</t>
  </si>
  <si>
    <t>ERASMUS</t>
  </si>
  <si>
    <t>obedy zadarmo</t>
  </si>
  <si>
    <t>Účet 221</t>
  </si>
  <si>
    <t>OK - ZŠ, ŠJ, ŠKD, ZUŠ</t>
  </si>
  <si>
    <t xml:space="preserve">obedy zadarmo </t>
  </si>
  <si>
    <t>Zosttok PU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</si>
</sst>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_-* #,##0.00\ _S_k_-;\-* #,##0.00\ _S_k_-;_-* &quot;-&quot;??\ _S_k_-;_-@_-"/>
    <numFmt numFmtId="166" formatCode="_-* #,##0\ _S_k_-;\-* #,##0\ _S_k_-;_-* &quot;-&quot;??\ _S_k_-;_-@_-"/>
    <numFmt numFmtId="167" formatCode="#,##0.00_ ;[Red]\-#,##0.00\ "/>
    <numFmt numFmtId="168" formatCode="#,##0_ ;[Red]\-#,##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5" tint="0.3999755851924192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name val="Symbol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/>
    <xf numFmtId="14" fontId="3" fillId="2" borderId="0" xfId="0" applyNumberFormat="1" applyFont="1" applyFill="1"/>
    <xf numFmtId="0" fontId="2" fillId="0" borderId="0" xfId="0" applyFont="1"/>
    <xf numFmtId="0" fontId="4" fillId="3" borderId="0" xfId="0" applyFont="1" applyFill="1"/>
    <xf numFmtId="0" fontId="5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6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43" fontId="0" fillId="0" borderId="10" xfId="1" applyFont="1" applyBorder="1"/>
    <xf numFmtId="43" fontId="0" fillId="0" borderId="11" xfId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5" xfId="1" applyFont="1" applyBorder="1"/>
    <xf numFmtId="43" fontId="0" fillId="0" borderId="16" xfId="1" applyFont="1" applyBorder="1"/>
    <xf numFmtId="43" fontId="0" fillId="0" borderId="17" xfId="1" applyFont="1" applyBorder="1"/>
    <xf numFmtId="0" fontId="0" fillId="0" borderId="18" xfId="0" applyBorder="1"/>
    <xf numFmtId="0" fontId="2" fillId="0" borderId="3" xfId="0" applyFont="1" applyBorder="1"/>
    <xf numFmtId="43" fontId="2" fillId="0" borderId="8" xfId="1" applyFont="1" applyBorder="1"/>
    <xf numFmtId="43" fontId="2" fillId="0" borderId="5" xfId="1" applyFont="1" applyBorder="1"/>
    <xf numFmtId="0" fontId="0" fillId="0" borderId="19" xfId="0" applyBorder="1"/>
    <xf numFmtId="43" fontId="0" fillId="0" borderId="20" xfId="1" applyFont="1" applyBorder="1"/>
    <xf numFmtId="0" fontId="7" fillId="0" borderId="21" xfId="0" applyFont="1" applyBorder="1"/>
    <xf numFmtId="43" fontId="7" fillId="0" borderId="20" xfId="1" applyFont="1" applyBorder="1"/>
    <xf numFmtId="43" fontId="7" fillId="0" borderId="12" xfId="1" applyFont="1" applyBorder="1"/>
    <xf numFmtId="0" fontId="2" fillId="0" borderId="8" xfId="0" applyFont="1" applyBorder="1"/>
    <xf numFmtId="165" fontId="2" fillId="0" borderId="8" xfId="0" applyNumberFormat="1" applyFont="1" applyBorder="1"/>
    <xf numFmtId="0" fontId="0" fillId="0" borderId="21" xfId="0" applyBorder="1"/>
    <xf numFmtId="0" fontId="0" fillId="0" borderId="20" xfId="0" applyBorder="1"/>
    <xf numFmtId="165" fontId="8" fillId="0" borderId="20" xfId="0" applyNumberFormat="1" applyFont="1" applyFill="1" applyBorder="1"/>
    <xf numFmtId="165" fontId="0" fillId="4" borderId="20" xfId="0" applyNumberFormat="1" applyFill="1" applyBorder="1"/>
    <xf numFmtId="164" fontId="0" fillId="0" borderId="0" xfId="0" applyNumberFormat="1"/>
    <xf numFmtId="43" fontId="0" fillId="0" borderId="19" xfId="1" applyFont="1" applyBorder="1"/>
    <xf numFmtId="165" fontId="0" fillId="0" borderId="20" xfId="0" applyNumberFormat="1" applyBorder="1"/>
    <xf numFmtId="165" fontId="0" fillId="5" borderId="20" xfId="0" applyNumberFormat="1" applyFill="1" applyBorder="1"/>
    <xf numFmtId="0" fontId="7" fillId="0" borderId="15" xfId="0" applyFont="1" applyBorder="1"/>
    <xf numFmtId="43" fontId="7" fillId="0" borderId="17" xfId="1" applyFont="1" applyBorder="1"/>
    <xf numFmtId="165" fontId="7" fillId="0" borderId="15" xfId="0" applyNumberFormat="1" applyFont="1" applyBorder="1"/>
    <xf numFmtId="165" fontId="0" fillId="0" borderId="15" xfId="0" applyNumberFormat="1" applyBorder="1"/>
    <xf numFmtId="165" fontId="2" fillId="0" borderId="3" xfId="0" applyNumberFormat="1" applyFont="1" applyBorder="1"/>
    <xf numFmtId="0" fontId="0" fillId="0" borderId="10" xfId="0" applyBorder="1"/>
    <xf numFmtId="165" fontId="0" fillId="0" borderId="22" xfId="0" applyNumberFormat="1" applyBorder="1"/>
    <xf numFmtId="165" fontId="0" fillId="0" borderId="10" xfId="0" applyNumberFormat="1" applyBorder="1"/>
    <xf numFmtId="0" fontId="9" fillId="0" borderId="13" xfId="0" applyFont="1" applyBorder="1"/>
    <xf numFmtId="0" fontId="9" fillId="0" borderId="15" xfId="0" applyFont="1" applyBorder="1" applyAlignment="1">
      <alignment horizontal="left"/>
    </xf>
    <xf numFmtId="43" fontId="0" fillId="0" borderId="23" xfId="1" applyFont="1" applyBorder="1"/>
    <xf numFmtId="0" fontId="0" fillId="0" borderId="15" xfId="0" applyBorder="1"/>
    <xf numFmtId="43" fontId="2" fillId="0" borderId="4" xfId="1" applyFont="1" applyBorder="1"/>
    <xf numFmtId="165" fontId="2" fillId="0" borderId="1" xfId="0" applyNumberFormat="1" applyFont="1" applyBorder="1"/>
    <xf numFmtId="0" fontId="2" fillId="0" borderId="9" xfId="0" applyFont="1" applyBorder="1"/>
    <xf numFmtId="0" fontId="0" fillId="0" borderId="6" xfId="0" applyBorder="1" applyAlignment="1">
      <alignment wrapText="1"/>
    </xf>
    <xf numFmtId="165" fontId="0" fillId="6" borderId="0" xfId="0" applyNumberFormat="1" applyFill="1" applyBorder="1"/>
    <xf numFmtId="165" fontId="0" fillId="0" borderId="6" xfId="0" applyNumberFormat="1" applyBorder="1"/>
    <xf numFmtId="0" fontId="0" fillId="0" borderId="6" xfId="0" applyBorder="1"/>
    <xf numFmtId="0" fontId="3" fillId="0" borderId="8" xfId="0" applyFont="1" applyBorder="1"/>
    <xf numFmtId="165" fontId="3" fillId="0" borderId="4" xfId="0" applyNumberFormat="1" applyFont="1" applyBorder="1"/>
    <xf numFmtId="165" fontId="0" fillId="0" borderId="8" xfId="0" applyNumberFormat="1" applyBorder="1"/>
    <xf numFmtId="0" fontId="0" fillId="0" borderId="0" xfId="0" applyBorder="1"/>
    <xf numFmtId="0" fontId="3" fillId="0" borderId="12" xfId="0" applyFont="1" applyBorder="1"/>
    <xf numFmtId="165" fontId="3" fillId="0" borderId="0" xfId="0" applyNumberFormat="1" applyFont="1" applyBorder="1"/>
    <xf numFmtId="165" fontId="0" fillId="0" borderId="0" xfId="0" applyNumberFormat="1" applyBorder="1"/>
    <xf numFmtId="0" fontId="0" fillId="7" borderId="8" xfId="0" applyFill="1" applyBorder="1"/>
    <xf numFmtId="0" fontId="0" fillId="0" borderId="8" xfId="0" applyBorder="1"/>
    <xf numFmtId="0" fontId="0" fillId="0" borderId="4" xfId="0" applyBorder="1"/>
    <xf numFmtId="0" fontId="0" fillId="0" borderId="24" xfId="0" applyBorder="1"/>
    <xf numFmtId="166" fontId="0" fillId="0" borderId="25" xfId="1" applyNumberFormat="1" applyFont="1" applyBorder="1"/>
    <xf numFmtId="165" fontId="0" fillId="7" borderId="25" xfId="0" applyNumberFormat="1" applyFill="1" applyBorder="1"/>
    <xf numFmtId="166" fontId="0" fillId="0" borderId="26" xfId="1" applyNumberFormat="1" applyFont="1" applyBorder="1"/>
    <xf numFmtId="166" fontId="0" fillId="0" borderId="10" xfId="0" applyNumberFormat="1" applyBorder="1"/>
    <xf numFmtId="0" fontId="0" fillId="0" borderId="27" xfId="0" applyBorder="1"/>
    <xf numFmtId="166" fontId="0" fillId="0" borderId="28" xfId="1" applyNumberFormat="1" applyFont="1" applyBorder="1"/>
    <xf numFmtId="165" fontId="0" fillId="7" borderId="28" xfId="0" applyNumberFormat="1" applyFill="1" applyBorder="1"/>
    <xf numFmtId="166" fontId="0" fillId="0" borderId="29" xfId="1" applyNumberFormat="1" applyFont="1" applyBorder="1"/>
    <xf numFmtId="166" fontId="0" fillId="0" borderId="17" xfId="1" applyNumberFormat="1" applyFont="1" applyBorder="1"/>
    <xf numFmtId="0" fontId="0" fillId="0" borderId="30" xfId="0" applyBorder="1"/>
    <xf numFmtId="166" fontId="0" fillId="0" borderId="31" xfId="0" applyNumberFormat="1" applyBorder="1"/>
    <xf numFmtId="165" fontId="0" fillId="7" borderId="31" xfId="0" applyNumberFormat="1" applyFill="1" applyBorder="1"/>
    <xf numFmtId="166" fontId="0" fillId="0" borderId="32" xfId="1" applyNumberFormat="1" applyFont="1" applyBorder="1"/>
    <xf numFmtId="166" fontId="0" fillId="0" borderId="33" xfId="1" applyNumberFormat="1" applyFont="1" applyBorder="1"/>
    <xf numFmtId="0" fontId="0" fillId="0" borderId="0" xfId="0" applyFill="1" applyBorder="1"/>
    <xf numFmtId="167" fontId="0" fillId="0" borderId="0" xfId="0" applyNumberFormat="1"/>
    <xf numFmtId="166" fontId="10" fillId="0" borderId="0" xfId="1" applyNumberFormat="1" applyFont="1"/>
    <xf numFmtId="43" fontId="0" fillId="0" borderId="0" xfId="0" applyNumberFormat="1"/>
    <xf numFmtId="166" fontId="0" fillId="0" borderId="0" xfId="0" applyNumberFormat="1"/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9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6" borderId="0" xfId="0" applyFill="1"/>
    <xf numFmtId="0" fontId="13" fillId="0" borderId="0" xfId="0" applyFont="1" applyFill="1" applyBorder="1"/>
    <xf numFmtId="0" fontId="0" fillId="0" borderId="0" xfId="0" applyFill="1" applyBorder="1" applyAlignment="1">
      <alignment horizontal="center"/>
    </xf>
    <xf numFmtId="166" fontId="10" fillId="0" borderId="0" xfId="1" applyNumberFormat="1" applyFont="1" applyFill="1" applyBorder="1"/>
    <xf numFmtId="166" fontId="0" fillId="0" borderId="0" xfId="0" applyNumberFormat="1" applyFill="1" applyBorder="1"/>
    <xf numFmtId="166" fontId="7" fillId="0" borderId="0" xfId="0" applyNumberFormat="1" applyFont="1" applyFill="1" applyBorder="1"/>
    <xf numFmtId="168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4" fontId="0" fillId="0" borderId="0" xfId="0" applyNumberFormat="1"/>
    <xf numFmtId="0" fontId="11" fillId="0" borderId="27" xfId="0" applyFont="1" applyBorder="1"/>
    <xf numFmtId="0" fontId="0" fillId="12" borderId="0" xfId="0" applyFill="1"/>
    <xf numFmtId="0" fontId="0" fillId="0" borderId="34" xfId="0" applyBorder="1"/>
    <xf numFmtId="0" fontId="11" fillId="0" borderId="35" xfId="0" applyFont="1" applyFill="1" applyBorder="1"/>
    <xf numFmtId="0" fontId="16" fillId="0" borderId="0" xfId="0" applyFont="1"/>
    <xf numFmtId="14" fontId="11" fillId="8" borderId="0" xfId="0" applyNumberFormat="1" applyFont="1" applyFill="1"/>
    <xf numFmtId="0" fontId="3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9" borderId="24" xfId="0" applyFont="1" applyFill="1" applyBorder="1"/>
    <xf numFmtId="165" fontId="20" fillId="9" borderId="28" xfId="1" applyNumberFormat="1" applyFont="1" applyFill="1" applyBorder="1"/>
    <xf numFmtId="2" fontId="20" fillId="9" borderId="36" xfId="0" applyNumberFormat="1" applyFont="1" applyFill="1" applyBorder="1" applyAlignment="1">
      <alignment horizontal="center"/>
    </xf>
    <xf numFmtId="0" fontId="20" fillId="9" borderId="36" xfId="0" applyFont="1" applyFill="1" applyBorder="1"/>
    <xf numFmtId="165" fontId="21" fillId="9" borderId="39" xfId="1" applyNumberFormat="1" applyFont="1" applyFill="1" applyBorder="1"/>
    <xf numFmtId="165" fontId="0" fillId="0" borderId="28" xfId="1" applyNumberFormat="1" applyFont="1" applyBorder="1"/>
    <xf numFmtId="165" fontId="3" fillId="0" borderId="39" xfId="1" applyNumberFormat="1" applyFont="1" applyBorder="1"/>
    <xf numFmtId="165" fontId="0" fillId="0" borderId="31" xfId="1" applyNumberFormat="1" applyFont="1" applyBorder="1"/>
    <xf numFmtId="0" fontId="0" fillId="0" borderId="46" xfId="0" applyBorder="1"/>
    <xf numFmtId="165" fontId="0" fillId="0" borderId="55" xfId="1" applyNumberFormat="1" applyFont="1" applyBorder="1"/>
    <xf numFmtId="165" fontId="3" fillId="0" borderId="47" xfId="1" applyNumberFormat="1" applyFont="1" applyBorder="1"/>
    <xf numFmtId="0" fontId="0" fillId="0" borderId="48" xfId="0" applyBorder="1"/>
    <xf numFmtId="165" fontId="0" fillId="0" borderId="59" xfId="1" applyNumberFormat="1" applyFont="1" applyBorder="1"/>
    <xf numFmtId="165" fontId="3" fillId="0" borderId="49" xfId="1" applyNumberFormat="1" applyFont="1" applyBorder="1"/>
    <xf numFmtId="165" fontId="20" fillId="9" borderId="25" xfId="1" applyNumberFormat="1" applyFont="1" applyFill="1" applyBorder="1"/>
    <xf numFmtId="165" fontId="20" fillId="9" borderId="45" xfId="1" applyNumberFormat="1" applyFont="1" applyFill="1" applyBorder="1"/>
    <xf numFmtId="0" fontId="3" fillId="0" borderId="46" xfId="0" applyFont="1" applyFill="1" applyBorder="1"/>
    <xf numFmtId="165" fontId="0" fillId="0" borderId="31" xfId="0" applyNumberFormat="1" applyBorder="1"/>
    <xf numFmtId="165" fontId="0" fillId="0" borderId="54" xfId="0" applyNumberFormat="1" applyBorder="1"/>
    <xf numFmtId="0" fontId="0" fillId="0" borderId="43" xfId="0" applyFill="1" applyBorder="1"/>
    <xf numFmtId="0" fontId="0" fillId="0" borderId="56" xfId="0" applyBorder="1"/>
    <xf numFmtId="165" fontId="0" fillId="0" borderId="53" xfId="1" applyNumberFormat="1" applyFont="1" applyBorder="1"/>
    <xf numFmtId="165" fontId="3" fillId="0" borderId="44" xfId="1" applyNumberFormat="1" applyFont="1" applyBorder="1"/>
    <xf numFmtId="0" fontId="3" fillId="15" borderId="41" xfId="0" applyFont="1" applyFill="1" applyBorder="1"/>
    <xf numFmtId="165" fontId="20" fillId="15" borderId="51" xfId="1" applyNumberFormat="1" applyFont="1" applyFill="1" applyBorder="1"/>
    <xf numFmtId="0" fontId="3" fillId="15" borderId="34" xfId="0" applyFont="1" applyFill="1" applyBorder="1"/>
    <xf numFmtId="165" fontId="20" fillId="15" borderId="50" xfId="1" applyNumberFormat="1" applyFont="1" applyFill="1" applyBorder="1"/>
    <xf numFmtId="165" fontId="21" fillId="15" borderId="38" xfId="1" applyNumberFormat="1" applyFont="1" applyFill="1" applyBorder="1"/>
    <xf numFmtId="0" fontId="0" fillId="0" borderId="41" xfId="0" applyBorder="1"/>
    <xf numFmtId="165" fontId="0" fillId="0" borderId="51" xfId="1" applyNumberFormat="1" applyFont="1" applyBorder="1"/>
    <xf numFmtId="165" fontId="3" fillId="0" borderId="42" xfId="1" applyNumberFormat="1" applyFont="1" applyBorder="1"/>
    <xf numFmtId="165" fontId="20" fillId="15" borderId="28" xfId="1" applyNumberFormat="1" applyFont="1" applyFill="1" applyBorder="1"/>
    <xf numFmtId="0" fontId="20" fillId="15" borderId="36" xfId="0" applyFont="1" applyFill="1" applyBorder="1"/>
    <xf numFmtId="165" fontId="21" fillId="15" borderId="39" xfId="1" applyNumberFormat="1" applyFont="1" applyFill="1" applyBorder="1"/>
    <xf numFmtId="165" fontId="0" fillId="0" borderId="50" xfId="1" applyNumberFormat="1" applyFont="1" applyBorder="1"/>
    <xf numFmtId="0" fontId="0" fillId="15" borderId="27" xfId="0" applyFill="1" applyBorder="1"/>
    <xf numFmtId="165" fontId="3" fillId="0" borderId="38" xfId="1" applyNumberFormat="1" applyFont="1" applyBorder="1"/>
    <xf numFmtId="165" fontId="0" fillId="0" borderId="28" xfId="0" applyNumberFormat="1" applyBorder="1"/>
    <xf numFmtId="165" fontId="3" fillId="0" borderId="28" xfId="0" applyNumberFormat="1" applyFont="1" applyBorder="1"/>
    <xf numFmtId="165" fontId="0" fillId="0" borderId="56" xfId="0" applyNumberFormat="1" applyBorder="1"/>
    <xf numFmtId="165" fontId="0" fillId="0" borderId="53" xfId="0" applyNumberFormat="1" applyBorder="1"/>
    <xf numFmtId="165" fontId="0" fillId="0" borderId="58" xfId="0" applyNumberFormat="1" applyBorder="1"/>
    <xf numFmtId="165" fontId="3" fillId="6" borderId="0" xfId="0" applyNumberFormat="1" applyFont="1" applyFill="1" applyBorder="1"/>
    <xf numFmtId="9" fontId="0" fillId="0" borderId="0" xfId="2" applyFont="1"/>
    <xf numFmtId="165" fontId="0" fillId="0" borderId="28" xfId="1" applyNumberFormat="1" applyFont="1" applyFill="1" applyBorder="1"/>
    <xf numFmtId="165" fontId="0" fillId="0" borderId="0" xfId="0" applyNumberFormat="1" applyFill="1"/>
    <xf numFmtId="165" fontId="0" fillId="0" borderId="0" xfId="1" applyNumberFormat="1" applyFont="1"/>
    <xf numFmtId="0" fontId="7" fillId="0" borderId="0" xfId="0" applyFont="1"/>
    <xf numFmtId="165" fontId="0" fillId="0" borderId="0" xfId="0" applyNumberFormat="1"/>
    <xf numFmtId="0" fontId="11" fillId="0" borderId="0" xfId="0" applyFont="1" applyFill="1" applyBorder="1"/>
    <xf numFmtId="165" fontId="22" fillId="0" borderId="0" xfId="0" applyNumberFormat="1" applyFont="1" applyFill="1" applyBorder="1"/>
    <xf numFmtId="164" fontId="19" fillId="0" borderId="0" xfId="0" applyNumberFormat="1" applyFont="1"/>
    <xf numFmtId="0" fontId="11" fillId="0" borderId="14" xfId="0" applyFont="1" applyBorder="1"/>
    <xf numFmtId="165" fontId="0" fillId="0" borderId="52" xfId="1" applyNumberFormat="1" applyFont="1" applyBorder="1"/>
    <xf numFmtId="0" fontId="3" fillId="0" borderId="3" xfId="0" applyFont="1" applyBorder="1"/>
    <xf numFmtId="43" fontId="0" fillId="0" borderId="48" xfId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11" fillId="14" borderId="49" xfId="0" applyFont="1" applyFill="1" applyBorder="1" applyAlignment="1">
      <alignment horizontal="center"/>
    </xf>
    <xf numFmtId="165" fontId="0" fillId="0" borderId="30" xfId="0" applyNumberFormat="1" applyBorder="1"/>
    <xf numFmtId="165" fontId="11" fillId="14" borderId="54" xfId="0" applyNumberFormat="1" applyFont="1" applyFill="1" applyBorder="1"/>
    <xf numFmtId="0" fontId="0" fillId="0" borderId="35" xfId="0" applyBorder="1"/>
    <xf numFmtId="165" fontId="0" fillId="0" borderId="52" xfId="1" applyNumberFormat="1" applyFont="1" applyFill="1" applyBorder="1"/>
    <xf numFmtId="165" fontId="0" fillId="0" borderId="31" xfId="1" applyNumberFormat="1" applyFont="1" applyFill="1" applyBorder="1"/>
    <xf numFmtId="165" fontId="3" fillId="16" borderId="54" xfId="1" applyNumberFormat="1" applyFont="1" applyFill="1" applyBorder="1"/>
    <xf numFmtId="165" fontId="3" fillId="0" borderId="39" xfId="1" applyNumberFormat="1" applyFont="1" applyFill="1" applyBorder="1"/>
    <xf numFmtId="0" fontId="24" fillId="0" borderId="27" xfId="0" applyFont="1" applyBorder="1"/>
    <xf numFmtId="165" fontId="3" fillId="13" borderId="54" xfId="1" applyNumberFormat="1" applyFont="1" applyFill="1" applyBorder="1"/>
    <xf numFmtId="165" fontId="3" fillId="17" borderId="54" xfId="1" applyNumberFormat="1" applyFont="1" applyFill="1" applyBorder="1"/>
    <xf numFmtId="164" fontId="20" fillId="15" borderId="36" xfId="1" applyNumberFormat="1" applyFont="1" applyFill="1" applyBorder="1"/>
    <xf numFmtId="165" fontId="0" fillId="17" borderId="50" xfId="1" applyNumberFormat="1" applyFont="1" applyFill="1" applyBorder="1"/>
    <xf numFmtId="165" fontId="0" fillId="17" borderId="28" xfId="1" applyNumberFormat="1" applyFont="1" applyFill="1" applyBorder="1"/>
    <xf numFmtId="0" fontId="0" fillId="15" borderId="43" xfId="0" applyFill="1" applyBorder="1"/>
    <xf numFmtId="165" fontId="20" fillId="15" borderId="53" xfId="1" applyNumberFormat="1" applyFont="1" applyFill="1" applyBorder="1"/>
    <xf numFmtId="165" fontId="0" fillId="10" borderId="28" xfId="1" applyNumberFormat="1" applyFont="1" applyFill="1" applyBorder="1"/>
    <xf numFmtId="165" fontId="3" fillId="10" borderId="54" xfId="1" applyNumberFormat="1" applyFont="1" applyFill="1" applyBorder="1"/>
    <xf numFmtId="165" fontId="3" fillId="0" borderId="39" xfId="0" applyNumberFormat="1" applyFont="1" applyBorder="1"/>
    <xf numFmtId="0" fontId="0" fillId="11" borderId="46" xfId="0" applyFill="1" applyBorder="1"/>
    <xf numFmtId="165" fontId="0" fillId="11" borderId="55" xfId="0" applyNumberFormat="1" applyFill="1" applyBorder="1"/>
    <xf numFmtId="0" fontId="3" fillId="18" borderId="41" xfId="0" applyFont="1" applyFill="1" applyBorder="1"/>
    <xf numFmtId="165" fontId="3" fillId="18" borderId="51" xfId="1" applyNumberFormat="1" applyFont="1" applyFill="1" applyBorder="1"/>
    <xf numFmtId="165" fontId="0" fillId="0" borderId="52" xfId="0" applyNumberFormat="1" applyBorder="1"/>
    <xf numFmtId="165" fontId="0" fillId="0" borderId="25" xfId="1" applyNumberFormat="1" applyFont="1" applyFill="1" applyBorder="1"/>
    <xf numFmtId="165" fontId="0" fillId="0" borderId="26" xfId="1" applyNumberFormat="1" applyFont="1" applyFill="1" applyBorder="1"/>
    <xf numFmtId="165" fontId="0" fillId="0" borderId="50" xfId="1" applyNumberFormat="1" applyFont="1" applyFill="1" applyBorder="1"/>
    <xf numFmtId="0" fontId="25" fillId="0" borderId="0" xfId="0" applyFont="1"/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/>
    <xf numFmtId="0" fontId="11" fillId="0" borderId="0" xfId="0" applyFont="1"/>
    <xf numFmtId="164" fontId="0" fillId="0" borderId="28" xfId="1" applyNumberFormat="1" applyFont="1" applyFill="1" applyBorder="1"/>
    <xf numFmtId="0" fontId="18" fillId="0" borderId="41" xfId="0" applyFont="1" applyBorder="1"/>
    <xf numFmtId="165" fontId="1" fillId="0" borderId="51" xfId="1" applyNumberFormat="1" applyFont="1" applyBorder="1"/>
    <xf numFmtId="0" fontId="2" fillId="11" borderId="28" xfId="0" applyFont="1" applyFill="1" applyBorder="1" applyAlignment="1">
      <alignment horizontal="center"/>
    </xf>
    <xf numFmtId="165" fontId="0" fillId="0" borderId="38" xfId="1" applyNumberFormat="1" applyFont="1" applyFill="1" applyBorder="1"/>
    <xf numFmtId="165" fontId="18" fillId="0" borderId="50" xfId="1" applyNumberFormat="1" applyFont="1" applyFill="1" applyBorder="1"/>
    <xf numFmtId="165" fontId="1" fillId="0" borderId="50" xfId="1" applyNumberFormat="1" applyFont="1" applyFill="1" applyBorder="1"/>
    <xf numFmtId="43" fontId="0" fillId="11" borderId="28" xfId="0" applyNumberFormat="1" applyFill="1" applyBorder="1"/>
    <xf numFmtId="165" fontId="18" fillId="0" borderId="52" xfId="1" applyNumberFormat="1" applyFont="1" applyFill="1" applyBorder="1"/>
    <xf numFmtId="165" fontId="1" fillId="0" borderId="52" xfId="1" applyNumberFormat="1" applyFont="1" applyFill="1" applyBorder="1"/>
    <xf numFmtId="165" fontId="0" fillId="0" borderId="51" xfId="0" applyNumberFormat="1" applyFill="1" applyBorder="1"/>
    <xf numFmtId="165" fontId="2" fillId="0" borderId="51" xfId="0" applyNumberFormat="1" applyFont="1" applyBorder="1"/>
    <xf numFmtId="164" fontId="0" fillId="0" borderId="0" xfId="1" applyNumberFormat="1" applyFont="1" applyBorder="1"/>
    <xf numFmtId="164" fontId="0" fillId="0" borderId="24" xfId="1" applyNumberFormat="1" applyFont="1" applyFill="1" applyBorder="1"/>
    <xf numFmtId="164" fontId="0" fillId="0" borderId="45" xfId="1" applyNumberFormat="1" applyFont="1" applyFill="1" applyBorder="1"/>
    <xf numFmtId="164" fontId="0" fillId="0" borderId="34" xfId="1" applyNumberFormat="1" applyFont="1" applyFill="1" applyBorder="1"/>
    <xf numFmtId="165" fontId="0" fillId="0" borderId="57" xfId="1" applyNumberFormat="1" applyFont="1" applyFill="1" applyBorder="1"/>
    <xf numFmtId="164" fontId="0" fillId="0" borderId="38" xfId="1" applyNumberFormat="1" applyFont="1" applyFill="1" applyBorder="1"/>
    <xf numFmtId="165" fontId="6" fillId="0" borderId="38" xfId="1" applyNumberFormat="1" applyFont="1" applyFill="1" applyBorder="1"/>
    <xf numFmtId="164" fontId="0" fillId="0" borderId="27" xfId="1" applyNumberFormat="1" applyFont="1" applyFill="1" applyBorder="1"/>
    <xf numFmtId="164" fontId="0" fillId="0" borderId="39" xfId="1" applyNumberFormat="1" applyFont="1" applyFill="1" applyBorder="1"/>
    <xf numFmtId="165" fontId="0" fillId="0" borderId="0" xfId="0" applyNumberFormat="1" applyFill="1" applyBorder="1"/>
    <xf numFmtId="164" fontId="23" fillId="0" borderId="27" xfId="1" applyNumberFormat="1" applyFont="1" applyFill="1" applyBorder="1"/>
    <xf numFmtId="165" fontId="1" fillId="0" borderId="28" xfId="1" applyNumberFormat="1" applyFont="1" applyFill="1" applyBorder="1"/>
    <xf numFmtId="165" fontId="0" fillId="0" borderId="39" xfId="1" applyNumberFormat="1" applyFont="1" applyFill="1" applyBorder="1"/>
    <xf numFmtId="164" fontId="0" fillId="0" borderId="35" xfId="1" applyNumberFormat="1" applyFont="1" applyFill="1" applyBorder="1"/>
    <xf numFmtId="164" fontId="0" fillId="0" borderId="52" xfId="1" applyNumberFormat="1" applyFont="1" applyFill="1" applyBorder="1"/>
    <xf numFmtId="164" fontId="0" fillId="0" borderId="40" xfId="1" applyNumberFormat="1" applyFont="1" applyFill="1" applyBorder="1"/>
    <xf numFmtId="0" fontId="2" fillId="2" borderId="28" xfId="0" applyFont="1" applyFill="1" applyBorder="1" applyAlignment="1">
      <alignment horizontal="center"/>
    </xf>
    <xf numFmtId="43" fontId="0" fillId="2" borderId="28" xfId="0" applyNumberFormat="1" applyFill="1" applyBorder="1"/>
    <xf numFmtId="164" fontId="23" fillId="0" borderId="35" xfId="1" applyNumberFormat="1" applyFont="1" applyFill="1" applyBorder="1"/>
    <xf numFmtId="165" fontId="0" fillId="0" borderId="58" xfId="1" applyNumberFormat="1" applyFont="1" applyFill="1" applyBorder="1" applyAlignment="1">
      <alignment horizontal="center"/>
    </xf>
    <xf numFmtId="164" fontId="0" fillId="0" borderId="51" xfId="1" applyNumberFormat="1" applyFont="1" applyFill="1" applyBorder="1"/>
    <xf numFmtId="165" fontId="11" fillId="0" borderId="51" xfId="1" applyNumberFormat="1" applyFont="1" applyFill="1" applyBorder="1"/>
    <xf numFmtId="165" fontId="0" fillId="0" borderId="42" xfId="1" applyNumberFormat="1" applyFont="1" applyFill="1" applyBorder="1"/>
    <xf numFmtId="165" fontId="2" fillId="0" borderId="42" xfId="1" applyNumberFormat="1" applyFont="1" applyFill="1" applyBorder="1"/>
    <xf numFmtId="0" fontId="11" fillId="0" borderId="28" xfId="0" applyFont="1" applyBorder="1"/>
    <xf numFmtId="164" fontId="10" fillId="0" borderId="28" xfId="1" applyNumberFormat="1" applyFont="1" applyFill="1" applyBorder="1"/>
    <xf numFmtId="0" fontId="3" fillId="0" borderId="28" xfId="0" applyFont="1" applyBorder="1"/>
    <xf numFmtId="164" fontId="0" fillId="0" borderId="28" xfId="1" applyNumberFormat="1" applyFont="1" applyBorder="1"/>
    <xf numFmtId="0" fontId="0" fillId="0" borderId="28" xfId="0" applyBorder="1"/>
    <xf numFmtId="165" fontId="10" fillId="0" borderId="28" xfId="1" applyNumberFormat="1" applyFont="1" applyFill="1" applyBorder="1"/>
    <xf numFmtId="165" fontId="22" fillId="0" borderId="28" xfId="1" applyNumberFormat="1" applyFont="1" applyFill="1" applyBorder="1"/>
    <xf numFmtId="164" fontId="22" fillId="0" borderId="28" xfId="1" applyNumberFormat="1" applyFont="1" applyFill="1" applyBorder="1"/>
    <xf numFmtId="9" fontId="11" fillId="0" borderId="28" xfId="0" applyNumberFormat="1" applyFont="1" applyBorder="1"/>
    <xf numFmtId="0" fontId="11" fillId="0" borderId="52" xfId="0" applyFont="1" applyBorder="1"/>
    <xf numFmtId="164" fontId="10" fillId="0" borderId="52" xfId="1" applyNumberFormat="1" applyFont="1" applyFill="1" applyBorder="1"/>
    <xf numFmtId="0" fontId="11" fillId="0" borderId="50" xfId="0" applyFont="1" applyBorder="1"/>
    <xf numFmtId="164" fontId="10" fillId="0" borderId="50" xfId="1" applyNumberFormat="1" applyFont="1" applyFill="1" applyBorder="1"/>
    <xf numFmtId="164" fontId="0" fillId="0" borderId="50" xfId="1" applyNumberFormat="1" applyFont="1" applyFill="1" applyBorder="1"/>
    <xf numFmtId="0" fontId="11" fillId="0" borderId="41" xfId="0" applyFont="1" applyBorder="1"/>
    <xf numFmtId="164" fontId="0" fillId="0" borderId="42" xfId="1" applyNumberFormat="1" applyFont="1" applyFill="1" applyBorder="1"/>
    <xf numFmtId="0" fontId="0" fillId="0" borderId="52" xfId="0" applyFill="1" applyBorder="1"/>
    <xf numFmtId="164" fontId="22" fillId="0" borderId="52" xfId="1" applyNumberFormat="1" applyFont="1" applyFill="1" applyBorder="1"/>
    <xf numFmtId="0" fontId="11" fillId="0" borderId="41" xfId="0" applyFont="1" applyFill="1" applyBorder="1"/>
    <xf numFmtId="164" fontId="2" fillId="0" borderId="42" xfId="1" applyNumberFormat="1" applyFont="1" applyFill="1" applyBorder="1"/>
    <xf numFmtId="164" fontId="3" fillId="0" borderId="41" xfId="1" applyNumberFormat="1" applyFont="1" applyFill="1" applyBorder="1"/>
    <xf numFmtId="164" fontId="2" fillId="0" borderId="8" xfId="1" applyNumberFormat="1" applyFont="1" applyFill="1" applyBorder="1"/>
    <xf numFmtId="0" fontId="17" fillId="0" borderId="41" xfId="0" applyFont="1" applyFill="1" applyBorder="1"/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/>
    <xf numFmtId="0" fontId="0" fillId="0" borderId="42" xfId="0" applyFill="1" applyBorder="1"/>
    <xf numFmtId="0" fontId="0" fillId="0" borderId="42" xfId="0" applyFill="1" applyBorder="1" applyAlignment="1">
      <alignment horizontal="center"/>
    </xf>
    <xf numFmtId="0" fontId="18" fillId="0" borderId="34" xfId="0" applyFont="1" applyFill="1" applyBorder="1"/>
    <xf numFmtId="0" fontId="0" fillId="0" borderId="27" xfId="0" applyFill="1" applyBorder="1"/>
    <xf numFmtId="9" fontId="11" fillId="0" borderId="27" xfId="0" applyNumberFormat="1" applyFont="1" applyFill="1" applyBorder="1"/>
    <xf numFmtId="165" fontId="7" fillId="0" borderId="52" xfId="1" applyNumberFormat="1" applyFont="1" applyFill="1" applyBorder="1"/>
    <xf numFmtId="165" fontId="11" fillId="0" borderId="28" xfId="1" applyNumberFormat="1" applyFont="1" applyFill="1" applyBorder="1"/>
    <xf numFmtId="0" fontId="0" fillId="0" borderId="41" xfId="0" applyFill="1" applyBorder="1"/>
    <xf numFmtId="165" fontId="0" fillId="0" borderId="51" xfId="1" applyNumberFormat="1" applyFont="1" applyFill="1" applyBorder="1"/>
    <xf numFmtId="164" fontId="0" fillId="0" borderId="48" xfId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18" fillId="0" borderId="28" xfId="0" applyFont="1" applyBorder="1"/>
    <xf numFmtId="165" fontId="18" fillId="0" borderId="28" xfId="1" applyNumberFormat="1" applyFont="1" applyFill="1" applyBorder="1"/>
    <xf numFmtId="9" fontId="18" fillId="0" borderId="28" xfId="0" applyNumberFormat="1" applyFont="1" applyBorder="1"/>
    <xf numFmtId="0" fontId="18" fillId="0" borderId="52" xfId="0" applyFont="1" applyBorder="1"/>
    <xf numFmtId="0" fontId="1" fillId="0" borderId="50" xfId="0" applyFont="1" applyFill="1" applyBorder="1"/>
    <xf numFmtId="165" fontId="0" fillId="0" borderId="50" xfId="0" applyNumberFormat="1" applyFill="1" applyBorder="1"/>
    <xf numFmtId="165" fontId="0" fillId="0" borderId="42" xfId="1" applyNumberFormat="1" applyFont="1" applyBorder="1"/>
    <xf numFmtId="0" fontId="1" fillId="0" borderId="52" xfId="0" applyFont="1" applyFill="1" applyBorder="1"/>
    <xf numFmtId="165" fontId="0" fillId="0" borderId="52" xfId="0" applyNumberFormat="1" applyFill="1" applyBorder="1"/>
    <xf numFmtId="164" fontId="2" fillId="0" borderId="42" xfId="1" applyNumberFormat="1" applyFont="1" applyBorder="1"/>
    <xf numFmtId="43" fontId="0" fillId="12" borderId="0" xfId="0" applyNumberFormat="1" applyFill="1"/>
    <xf numFmtId="0" fontId="15" fillId="14" borderId="0" xfId="0" applyFont="1" applyFill="1" applyAlignment="1">
      <alignment horizontal="left"/>
    </xf>
  </cellXfs>
  <cellStyles count="3">
    <cellStyle name="čiarky" xfId="1" builtinId="3"/>
    <cellStyle name="normálne" xfId="0" builtinId="0"/>
    <cellStyle name="percentá" xfId="2" builtinId="5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topLeftCell="A36" zoomScale="80" zoomScaleSheetLayoutView="80" workbookViewId="0">
      <selection activeCell="B44" sqref="B44:K71"/>
    </sheetView>
  </sheetViews>
  <sheetFormatPr defaultRowHeight="15"/>
  <cols>
    <col min="1" max="1" width="16.5703125" customWidth="1"/>
    <col min="2" max="2" width="16.85546875" customWidth="1"/>
    <col min="3" max="6" width="15.7109375" customWidth="1"/>
    <col min="7" max="7" width="16.85546875" customWidth="1"/>
    <col min="8" max="15" width="15.7109375" customWidth="1"/>
    <col min="16" max="16" width="17.5703125" customWidth="1"/>
    <col min="17" max="17" width="15.7109375" customWidth="1"/>
  </cols>
  <sheetData>
    <row r="1" spans="1:19">
      <c r="A1" s="1" t="s">
        <v>0</v>
      </c>
      <c r="C1">
        <v>2019</v>
      </c>
    </row>
    <row r="2" spans="1:19" ht="15.75" thickBot="1">
      <c r="A2" s="2">
        <v>43709</v>
      </c>
      <c r="B2" s="3" t="s">
        <v>1</v>
      </c>
      <c r="C2" s="4">
        <v>4</v>
      </c>
      <c r="D2" s="5"/>
    </row>
    <row r="3" spans="1:19" ht="15.7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</row>
    <row r="4" spans="1:19" ht="15.75" thickBot="1">
      <c r="A4" s="11" t="s">
        <v>47</v>
      </c>
      <c r="B4" s="12"/>
      <c r="C4" s="13" t="s">
        <v>9</v>
      </c>
      <c r="D4" s="14" t="s">
        <v>10</v>
      </c>
      <c r="E4" s="13" t="s">
        <v>11</v>
      </c>
      <c r="F4" s="13" t="s">
        <v>9</v>
      </c>
      <c r="G4" s="14" t="s">
        <v>10</v>
      </c>
      <c r="H4" s="13" t="s">
        <v>11</v>
      </c>
      <c r="I4" s="13" t="s">
        <v>9</v>
      </c>
      <c r="J4" s="14" t="s">
        <v>10</v>
      </c>
      <c r="K4" s="13" t="s">
        <v>11</v>
      </c>
      <c r="L4" s="13" t="s">
        <v>9</v>
      </c>
      <c r="M4" s="14" t="s">
        <v>10</v>
      </c>
      <c r="N4" s="13" t="s">
        <v>11</v>
      </c>
      <c r="O4" s="13" t="s">
        <v>9</v>
      </c>
      <c r="P4" s="14" t="s">
        <v>10</v>
      </c>
      <c r="Q4" s="13" t="s">
        <v>11</v>
      </c>
    </row>
    <row r="5" spans="1:19">
      <c r="A5" s="6"/>
      <c r="B5" s="15" t="s">
        <v>12</v>
      </c>
      <c r="C5" s="15" t="s">
        <v>13</v>
      </c>
      <c r="D5" s="16">
        <f>SUM(E5*$C$2)</f>
        <v>24754.880000000001</v>
      </c>
      <c r="E5" s="17">
        <v>6188.72</v>
      </c>
      <c r="F5" s="15" t="s">
        <v>13</v>
      </c>
      <c r="G5" s="16">
        <f>SUM(H5*$C$2)</f>
        <v>41089.96</v>
      </c>
      <c r="H5" s="17">
        <v>10272.49</v>
      </c>
      <c r="I5" s="15" t="s">
        <v>13</v>
      </c>
      <c r="J5" s="16">
        <f>SUM(K5*$C$2)</f>
        <v>8353</v>
      </c>
      <c r="K5" s="17">
        <v>2088.25</v>
      </c>
      <c r="L5" s="15" t="s">
        <v>13</v>
      </c>
      <c r="M5" s="16">
        <f>SUM(N5*$C$2)</f>
        <v>7046.8</v>
      </c>
      <c r="N5" s="17">
        <v>1761.7</v>
      </c>
      <c r="O5" s="15" t="s">
        <v>13</v>
      </c>
      <c r="P5" s="16">
        <f>SUM(Q5*$C$2)</f>
        <v>40430.76</v>
      </c>
      <c r="Q5" s="17">
        <v>10107.69</v>
      </c>
    </row>
    <row r="6" spans="1:19" ht="15.75" thickBot="1">
      <c r="A6" s="18"/>
      <c r="B6" s="19" t="s">
        <v>14</v>
      </c>
      <c r="C6" s="20"/>
      <c r="D6" s="21">
        <f>SUM(E6*$C$2)</f>
        <v>0</v>
      </c>
      <c r="E6" s="22"/>
      <c r="F6" s="20"/>
      <c r="G6" s="21">
        <f>SUM(H6*$C$2)</f>
        <v>0</v>
      </c>
      <c r="H6" s="22"/>
      <c r="I6" s="20"/>
      <c r="J6" s="21">
        <f>SUM(K6*$C$2)</f>
        <v>0</v>
      </c>
      <c r="K6" s="22"/>
      <c r="L6" s="20"/>
      <c r="M6" s="21">
        <f>SUM(N6*$C$2)</f>
        <v>0</v>
      </c>
      <c r="N6" s="23"/>
      <c r="O6" s="20"/>
      <c r="P6" s="21">
        <f>SUM(Q6*$C$2)</f>
        <v>0</v>
      </c>
      <c r="Q6" s="22">
        <v>0</v>
      </c>
    </row>
    <row r="7" spans="1:19" ht="15.75" thickBot="1">
      <c r="A7" s="18"/>
      <c r="B7" s="24"/>
      <c r="C7" s="25" t="s">
        <v>15</v>
      </c>
      <c r="D7" s="26">
        <f>SUM(D5:D6)</f>
        <v>24754.880000000001</v>
      </c>
      <c r="E7" s="27">
        <f>SUM(E5:E6)</f>
        <v>6188.72</v>
      </c>
      <c r="F7" s="25" t="s">
        <v>15</v>
      </c>
      <c r="G7" s="26">
        <f>SUM(G5:G6)</f>
        <v>41089.96</v>
      </c>
      <c r="H7" s="27">
        <f>SUM(H5:H6)</f>
        <v>10272.49</v>
      </c>
      <c r="I7" s="25" t="s">
        <v>15</v>
      </c>
      <c r="J7" s="26">
        <f>SUM(J5:J6)</f>
        <v>8353</v>
      </c>
      <c r="K7" s="27">
        <f>SUM(K5:K6)</f>
        <v>2088.25</v>
      </c>
      <c r="L7" s="25" t="s">
        <v>15</v>
      </c>
      <c r="M7" s="26">
        <f>SUM(M5:M6)</f>
        <v>7046.8</v>
      </c>
      <c r="N7" s="27">
        <f>SUM(N5:N6)</f>
        <v>1761.7</v>
      </c>
      <c r="O7" s="25" t="s">
        <v>15</v>
      </c>
      <c r="P7" s="26">
        <f>SUM(P5:P6)</f>
        <v>40430.76</v>
      </c>
      <c r="Q7" s="27">
        <f>SUM(Q5:Q6)</f>
        <v>10107.69</v>
      </c>
    </row>
    <row r="8" spans="1:19">
      <c r="A8" s="18"/>
      <c r="B8" s="15" t="s">
        <v>16</v>
      </c>
      <c r="C8" s="15"/>
      <c r="D8" s="16">
        <f>SUM(E8*$C$2)</f>
        <v>0</v>
      </c>
      <c r="E8" s="16"/>
      <c r="F8" s="15"/>
      <c r="G8" s="16">
        <f>SUM(H8*$C$2)</f>
        <v>3146</v>
      </c>
      <c r="H8" s="16">
        <v>786.5</v>
      </c>
      <c r="I8" s="15"/>
      <c r="J8" s="16">
        <f>SUM(K8*$C$2)</f>
        <v>0</v>
      </c>
      <c r="K8" s="16"/>
      <c r="L8" s="15"/>
      <c r="M8" s="16">
        <f>SUM(N8*$C$2)</f>
        <v>218</v>
      </c>
      <c r="N8" s="16">
        <v>54.5</v>
      </c>
      <c r="O8" s="15"/>
      <c r="P8" s="16">
        <f>SUM(Q8*$C$2)</f>
        <v>1032</v>
      </c>
      <c r="Q8" s="16">
        <v>258</v>
      </c>
    </row>
    <row r="9" spans="1:19">
      <c r="A9" s="18"/>
      <c r="B9" s="28" t="s">
        <v>17</v>
      </c>
      <c r="C9" s="19"/>
      <c r="D9" s="23">
        <f>SUM(E9*$C$2)</f>
        <v>928</v>
      </c>
      <c r="E9" s="23">
        <v>232</v>
      </c>
      <c r="F9" s="19"/>
      <c r="G9" s="23">
        <f>SUM(H9*$C$2)</f>
        <v>1212</v>
      </c>
      <c r="H9" s="23">
        <v>303</v>
      </c>
      <c r="I9" s="19"/>
      <c r="J9" s="23">
        <f>SUM(K9*$C$2)</f>
        <v>0</v>
      </c>
      <c r="K9" s="23"/>
      <c r="L9" s="19"/>
      <c r="M9" s="23">
        <f>SUM(N9*$C$2)</f>
        <v>0</v>
      </c>
      <c r="N9" s="23"/>
      <c r="O9" s="19"/>
      <c r="P9" s="23">
        <f>SUM(Q9*$C$2)</f>
        <v>2430</v>
      </c>
      <c r="Q9" s="23">
        <v>607.5</v>
      </c>
    </row>
    <row r="10" spans="1:19">
      <c r="A10" s="18"/>
      <c r="B10" s="28" t="s">
        <v>18</v>
      </c>
      <c r="C10" s="19"/>
      <c r="D10" s="23">
        <f>SUM(E10*$C$2)</f>
        <v>1547.84</v>
      </c>
      <c r="E10" s="23">
        <v>386.96</v>
      </c>
      <c r="F10" s="19"/>
      <c r="G10" s="23">
        <f>SUM(H10*$C$2)</f>
        <v>2320.56</v>
      </c>
      <c r="H10" s="23">
        <v>580.14</v>
      </c>
      <c r="I10" s="19"/>
      <c r="J10" s="23">
        <f>SUM(K10*$C$2)</f>
        <v>328</v>
      </c>
      <c r="K10" s="23">
        <v>82</v>
      </c>
      <c r="L10" s="19"/>
      <c r="M10" s="23">
        <f>SUM(N10*$C$2)</f>
        <v>0</v>
      </c>
      <c r="N10" s="23"/>
      <c r="O10" s="19"/>
      <c r="P10" s="23">
        <f>SUM(Q10*$C$2)</f>
        <v>0</v>
      </c>
      <c r="Q10" s="23"/>
    </row>
    <row r="11" spans="1:19">
      <c r="A11" s="18"/>
      <c r="B11" s="28" t="s">
        <v>19</v>
      </c>
      <c r="C11" s="19"/>
      <c r="D11" s="29">
        <f>SUM(E11*$C$2)</f>
        <v>0</v>
      </c>
      <c r="E11" s="23"/>
      <c r="F11" s="19"/>
      <c r="G11" s="29">
        <f>SUM(H11*$C$2)</f>
        <v>392</v>
      </c>
      <c r="H11" s="23">
        <v>98</v>
      </c>
      <c r="I11" s="19"/>
      <c r="J11" s="29">
        <f>SUM(K11*$C$2)</f>
        <v>0</v>
      </c>
      <c r="K11" s="23"/>
      <c r="L11" s="19"/>
      <c r="M11" s="29">
        <f>SUM(N11*$C$2)</f>
        <v>0</v>
      </c>
      <c r="N11" s="23"/>
      <c r="O11" s="19"/>
      <c r="P11" s="29">
        <f>SUM(Q11*$C$2)</f>
        <v>0</v>
      </c>
      <c r="Q11" s="23"/>
    </row>
    <row r="12" spans="1:19">
      <c r="A12" s="18"/>
      <c r="B12" s="19" t="s">
        <v>20</v>
      </c>
      <c r="C12" s="19"/>
      <c r="D12" s="23">
        <f>SUM(E12*$C$2)</f>
        <v>0</v>
      </c>
      <c r="E12" s="23"/>
      <c r="F12" s="19"/>
      <c r="G12" s="23">
        <f>SUM(H12*$C$2)</f>
        <v>816</v>
      </c>
      <c r="H12" s="23">
        <v>204</v>
      </c>
      <c r="I12" s="19"/>
      <c r="J12" s="23">
        <f>SUM(K12*$C$2)</f>
        <v>0</v>
      </c>
      <c r="K12" s="23"/>
      <c r="L12" s="19"/>
      <c r="M12" s="23">
        <f>SUM(N12*$C$2)</f>
        <v>800</v>
      </c>
      <c r="N12" s="23">
        <v>200</v>
      </c>
      <c r="O12" s="19"/>
      <c r="P12" s="23">
        <f>SUM(Q12*$C$2)</f>
        <v>656</v>
      </c>
      <c r="Q12" s="23">
        <v>164</v>
      </c>
    </row>
    <row r="13" spans="1:19" ht="15.75" thickBot="1">
      <c r="A13" s="18"/>
      <c r="B13" s="30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2"/>
    </row>
    <row r="14" spans="1:19" ht="15.75" thickBot="1">
      <c r="A14" s="18"/>
      <c r="B14" s="24"/>
      <c r="C14" s="33" t="s">
        <v>15</v>
      </c>
      <c r="D14" s="34">
        <f>SUM(D8:D13)</f>
        <v>2475.84</v>
      </c>
      <c r="E14" s="34">
        <f>SUM(E8:E13)</f>
        <v>618.96</v>
      </c>
      <c r="F14" s="33" t="s">
        <v>15</v>
      </c>
      <c r="G14" s="34">
        <f>SUM(G8:G13)</f>
        <v>7886.5599999999995</v>
      </c>
      <c r="H14" s="34">
        <f>SUM(H8:H13)</f>
        <v>1971.6399999999999</v>
      </c>
      <c r="I14" s="33" t="s">
        <v>15</v>
      </c>
      <c r="J14" s="34">
        <f>SUM(J8:J13)</f>
        <v>328</v>
      </c>
      <c r="K14" s="34">
        <f>SUM(K8:K13)</f>
        <v>82</v>
      </c>
      <c r="L14" s="33" t="s">
        <v>15</v>
      </c>
      <c r="M14" s="34">
        <f>SUM(M8:M13)</f>
        <v>1018</v>
      </c>
      <c r="N14" s="34">
        <f>SUM(N8:N13)</f>
        <v>254.5</v>
      </c>
      <c r="O14" s="33" t="s">
        <v>15</v>
      </c>
      <c r="P14" s="34">
        <f>SUM(P8:P13)</f>
        <v>4118</v>
      </c>
      <c r="Q14" s="34">
        <f>SUM(Q8:Q13)</f>
        <v>1029.5</v>
      </c>
    </row>
    <row r="15" spans="1:19">
      <c r="A15" s="18"/>
      <c r="B15" s="35" t="s">
        <v>21</v>
      </c>
      <c r="C15" s="36"/>
      <c r="D15" s="37">
        <f>SUM(D14,D7)</f>
        <v>27230.720000000001</v>
      </c>
      <c r="E15" s="38">
        <f>SUM(E14,E7)</f>
        <v>6807.68</v>
      </c>
      <c r="F15" s="36"/>
      <c r="G15" s="37">
        <f>SUM(G14,G7)</f>
        <v>48976.52</v>
      </c>
      <c r="H15" s="38">
        <f>SUM(H14,H7)</f>
        <v>12244.13</v>
      </c>
      <c r="I15" s="36"/>
      <c r="J15" s="37">
        <f>SUM(J14,J7)</f>
        <v>8681</v>
      </c>
      <c r="K15" s="38">
        <f>SUM(K14,K7)</f>
        <v>2170.25</v>
      </c>
      <c r="L15" s="36"/>
      <c r="M15" s="37">
        <f>SUM(M14,M7)</f>
        <v>8064.8</v>
      </c>
      <c r="N15" s="38">
        <f>SUM(N14,N7)</f>
        <v>2016.2</v>
      </c>
      <c r="O15" s="36"/>
      <c r="P15" s="37">
        <f>SUM(P14,P7)</f>
        <v>44548.76</v>
      </c>
      <c r="Q15" s="38">
        <f>SUM(Q14,Q7)</f>
        <v>11137.19</v>
      </c>
      <c r="R15" s="39"/>
    </row>
    <row r="16" spans="1:19" ht="15.75" thickBot="1">
      <c r="A16" s="18"/>
      <c r="B16" s="30" t="s">
        <v>22</v>
      </c>
      <c r="C16" s="30"/>
      <c r="D16" s="31">
        <f>SUM(E16*$C$2)</f>
        <v>0</v>
      </c>
      <c r="E16" s="32"/>
      <c r="F16" s="30"/>
      <c r="G16" s="31">
        <f>SUM(H16*$C$2)</f>
        <v>0</v>
      </c>
      <c r="H16" s="32"/>
      <c r="I16" s="30"/>
      <c r="J16" s="31">
        <f>SUM(K16*$C$2)</f>
        <v>0</v>
      </c>
      <c r="K16" s="32"/>
      <c r="L16" s="30"/>
      <c r="M16" s="31">
        <f>SUM(N16*$C$2)</f>
        <v>0</v>
      </c>
      <c r="N16" s="32"/>
      <c r="O16" s="30"/>
      <c r="P16" s="31">
        <f>SUM(Q16*$C$2)</f>
        <v>1660</v>
      </c>
      <c r="Q16" s="32">
        <v>415</v>
      </c>
      <c r="R16" s="39"/>
      <c r="S16" s="39"/>
    </row>
    <row r="17" spans="1:19" ht="15.75" thickBot="1">
      <c r="A17" s="18"/>
      <c r="B17" s="35" t="s">
        <v>21</v>
      </c>
      <c r="C17" s="33" t="s">
        <v>15</v>
      </c>
      <c r="D17" s="34">
        <f>SUM(D15:D16)</f>
        <v>27230.720000000001</v>
      </c>
      <c r="E17" s="34">
        <f>SUM(E15:E16)</f>
        <v>6807.68</v>
      </c>
      <c r="F17" s="33" t="s">
        <v>15</v>
      </c>
      <c r="G17" s="34">
        <f>SUM(G15:G16)</f>
        <v>48976.52</v>
      </c>
      <c r="H17" s="34">
        <f>SUM(H15:H16)</f>
        <v>12244.13</v>
      </c>
      <c r="I17" s="33" t="s">
        <v>15</v>
      </c>
      <c r="J17" s="34">
        <f>SUM(J15:J16)</f>
        <v>8681</v>
      </c>
      <c r="K17" s="34">
        <f>SUM(K15:K16)</f>
        <v>2170.25</v>
      </c>
      <c r="L17" s="33" t="s">
        <v>15</v>
      </c>
      <c r="M17" s="34">
        <f>SUM(M15:M16)</f>
        <v>8064.8</v>
      </c>
      <c r="N17" s="34">
        <f>SUM(N15:N16)</f>
        <v>2016.2</v>
      </c>
      <c r="O17" s="33" t="s">
        <v>15</v>
      </c>
      <c r="P17" s="34">
        <f>SUM(P15:P16)</f>
        <v>46208.76</v>
      </c>
      <c r="Q17" s="34">
        <f>SUM(Q15:Q16)</f>
        <v>11552.19</v>
      </c>
      <c r="R17" s="39"/>
      <c r="S17" s="39"/>
    </row>
    <row r="18" spans="1:19">
      <c r="A18" s="18"/>
      <c r="B18" s="15" t="s">
        <v>23</v>
      </c>
      <c r="C18" s="36"/>
      <c r="D18" s="40">
        <f>SUM(E18*12)</f>
        <v>4455.8783999999996</v>
      </c>
      <c r="E18" s="41">
        <f>SUM(E7*0.06)</f>
        <v>371.32319999999999</v>
      </c>
      <c r="F18" s="36"/>
      <c r="G18" s="40">
        <f>SUM(H18*12)</f>
        <v>7396.1927999999989</v>
      </c>
      <c r="H18" s="41">
        <f>SUM(H7*0.06)</f>
        <v>616.34939999999995</v>
      </c>
      <c r="I18" s="36"/>
      <c r="J18" s="40">
        <f>SUM(K18*12)</f>
        <v>552</v>
      </c>
      <c r="K18" s="42">
        <v>46</v>
      </c>
      <c r="L18" s="36"/>
      <c r="M18" s="40">
        <f>SUM(N18*12)</f>
        <v>720</v>
      </c>
      <c r="N18" s="42">
        <v>60</v>
      </c>
      <c r="O18" s="36"/>
      <c r="P18" s="40">
        <f>SUM(Q18*12)</f>
        <v>2652</v>
      </c>
      <c r="Q18" s="42">
        <v>221</v>
      </c>
    </row>
    <row r="19" spans="1:19" ht="15.75" thickBot="1">
      <c r="A19" s="18"/>
      <c r="B19" s="19" t="s">
        <v>24</v>
      </c>
      <c r="C19" s="43"/>
      <c r="D19" s="44">
        <f>SUM(E19*$C$2)</f>
        <v>0</v>
      </c>
      <c r="E19" s="45"/>
      <c r="F19" s="43"/>
      <c r="G19" s="44">
        <f>SUM(H19*$C$2)</f>
        <v>0</v>
      </c>
      <c r="H19" s="45"/>
      <c r="I19" s="43"/>
      <c r="J19" s="44">
        <f>SUM(K19*$C$2)</f>
        <v>0</v>
      </c>
      <c r="K19" s="45"/>
      <c r="L19" s="43"/>
      <c r="M19" s="44">
        <f>SUM(N19*$C$2)</f>
        <v>0</v>
      </c>
      <c r="N19" s="45"/>
      <c r="O19" s="43"/>
      <c r="P19" s="44">
        <f>SUM(Q19*$C$2)</f>
        <v>0</v>
      </c>
      <c r="Q19" s="46"/>
    </row>
    <row r="20" spans="1:19" ht="15.75" thickBot="1">
      <c r="A20" s="18"/>
      <c r="B20" s="24"/>
      <c r="C20" s="33" t="s">
        <v>15</v>
      </c>
      <c r="D20" s="47">
        <f>SUM(D18:D19)</f>
        <v>4455.8783999999996</v>
      </c>
      <c r="E20" s="34">
        <f>SUM(E18:E19)</f>
        <v>371.32319999999999</v>
      </c>
      <c r="F20" s="33" t="s">
        <v>15</v>
      </c>
      <c r="G20" s="47">
        <f>SUM(G18:G19)</f>
        <v>7396.1927999999989</v>
      </c>
      <c r="H20" s="34">
        <f>SUM(H18:H19)</f>
        <v>616.34939999999995</v>
      </c>
      <c r="I20" s="33" t="s">
        <v>15</v>
      </c>
      <c r="J20" s="47">
        <f>SUM(J18:J19)</f>
        <v>552</v>
      </c>
      <c r="K20" s="34">
        <f>SUM(K18:K19)</f>
        <v>46</v>
      </c>
      <c r="L20" s="33" t="s">
        <v>15</v>
      </c>
      <c r="M20" s="47">
        <f>SUM(M18:M19)</f>
        <v>720</v>
      </c>
      <c r="N20" s="34">
        <f>SUM(N18:N19)</f>
        <v>60</v>
      </c>
      <c r="O20" s="33" t="s">
        <v>15</v>
      </c>
      <c r="P20" s="47">
        <f>SUM(P18:P19)</f>
        <v>2652</v>
      </c>
      <c r="Q20" s="34">
        <f>SUM(Q18:Q19)</f>
        <v>221</v>
      </c>
      <c r="R20" s="39"/>
    </row>
    <row r="21" spans="1:19">
      <c r="A21" s="18"/>
      <c r="B21" s="15" t="s">
        <v>25</v>
      </c>
      <c r="C21" s="48"/>
      <c r="D21" s="49">
        <f>SUM(E21*1)</f>
        <v>0</v>
      </c>
      <c r="E21" s="50"/>
      <c r="F21" s="48"/>
      <c r="G21" s="49">
        <f>SUM(H21*1)</f>
        <v>0</v>
      </c>
      <c r="H21" s="50"/>
      <c r="I21" s="48"/>
      <c r="J21" s="49">
        <f>SUM(K21*1)</f>
        <v>0</v>
      </c>
      <c r="K21" s="50">
        <v>0</v>
      </c>
      <c r="L21" s="48"/>
      <c r="M21" s="49">
        <f>SUM(N21*1)</f>
        <v>0</v>
      </c>
      <c r="N21" s="50"/>
      <c r="O21" s="48"/>
      <c r="P21" s="49">
        <f>SUM(Q21*1)</f>
        <v>0</v>
      </c>
      <c r="Q21" s="50"/>
    </row>
    <row r="22" spans="1:19" ht="15.75" thickBot="1">
      <c r="A22" s="18"/>
      <c r="B22" s="51" t="s">
        <v>26</v>
      </c>
      <c r="C22" s="52">
        <v>642016</v>
      </c>
      <c r="D22" s="53">
        <f>SUM(E22*2)</f>
        <v>0</v>
      </c>
      <c r="E22" s="46"/>
      <c r="F22" s="54"/>
      <c r="G22" s="53">
        <f>SUM(H22*2)</f>
        <v>0</v>
      </c>
      <c r="H22" s="46"/>
      <c r="I22" s="54" t="s">
        <v>27</v>
      </c>
      <c r="J22" s="53">
        <f>SUM(K22*2)</f>
        <v>1920</v>
      </c>
      <c r="K22" s="46">
        <v>960</v>
      </c>
      <c r="L22" s="54"/>
      <c r="M22" s="53">
        <f>SUM(N22*2)</f>
        <v>0</v>
      </c>
      <c r="N22" s="46"/>
      <c r="O22" s="54"/>
      <c r="P22" s="53">
        <f>SUM(Q22*2)</f>
        <v>0</v>
      </c>
      <c r="Q22" s="46"/>
    </row>
    <row r="23" spans="1:19" ht="15.75" thickBot="1">
      <c r="A23" s="18"/>
      <c r="B23" s="24"/>
      <c r="C23" s="33" t="s">
        <v>15</v>
      </c>
      <c r="D23" s="55">
        <f>SUM(D21:D22)</f>
        <v>0</v>
      </c>
      <c r="E23" s="56">
        <f>SUM(E21:E22)</f>
        <v>0</v>
      </c>
      <c r="F23" s="33" t="s">
        <v>15</v>
      </c>
      <c r="G23" s="55">
        <f>SUM(G21:G22)</f>
        <v>0</v>
      </c>
      <c r="H23" s="56">
        <f>SUM(H21:H22)</f>
        <v>0</v>
      </c>
      <c r="I23" s="33" t="s">
        <v>15</v>
      </c>
      <c r="J23" s="55">
        <f>SUM(J21:J22)</f>
        <v>1920</v>
      </c>
      <c r="K23" s="56">
        <f>SUM(K21:K22)</f>
        <v>960</v>
      </c>
      <c r="L23" s="33" t="s">
        <v>15</v>
      </c>
      <c r="M23" s="55">
        <f>SUM(M21:M22)</f>
        <v>0</v>
      </c>
      <c r="N23" s="56">
        <f>SUM(N21:N22)</f>
        <v>0</v>
      </c>
      <c r="O23" s="33" t="s">
        <v>15</v>
      </c>
      <c r="P23" s="55">
        <f>SUM(P21:P22)</f>
        <v>0</v>
      </c>
      <c r="Q23" s="56">
        <f>SUM(Q21:Q22)</f>
        <v>0</v>
      </c>
      <c r="R23" s="39"/>
    </row>
    <row r="24" spans="1:19" ht="15.75" thickBot="1">
      <c r="A24" s="18"/>
      <c r="B24" s="57" t="s">
        <v>28</v>
      </c>
      <c r="C24" s="33"/>
      <c r="D24" s="34">
        <f>SUM(D17,D20,D23)</f>
        <v>31686.598400000003</v>
      </c>
      <c r="E24" s="34">
        <f>SUM(E17,E20,E23)</f>
        <v>7179.0032000000001</v>
      </c>
      <c r="F24" s="33"/>
      <c r="G24" s="34">
        <f>SUM(G17,G20,G23)</f>
        <v>56372.712799999994</v>
      </c>
      <c r="H24" s="34">
        <f>SUM(H17,H20,H23)</f>
        <v>12860.479399999998</v>
      </c>
      <c r="I24" s="33"/>
      <c r="J24" s="34">
        <f>SUM(J17,J20,J23)</f>
        <v>11153</v>
      </c>
      <c r="K24" s="34">
        <f>SUM(K17,K20,K23)</f>
        <v>3176.25</v>
      </c>
      <c r="L24" s="33"/>
      <c r="M24" s="34">
        <f>SUM(M17,M20,M23)</f>
        <v>8784.7999999999993</v>
      </c>
      <c r="N24" s="34">
        <f>SUM(N17,N20,N23)</f>
        <v>2076.1999999999998</v>
      </c>
      <c r="O24" s="33"/>
      <c r="P24" s="34">
        <f>SUM(P17,P20,P23)</f>
        <v>48860.76</v>
      </c>
      <c r="Q24" s="34">
        <f>SUM(Q17,Q20,Q23)</f>
        <v>11773.19</v>
      </c>
      <c r="R24" s="39"/>
    </row>
    <row r="25" spans="1:19" ht="30.75" thickBot="1">
      <c r="A25" s="18"/>
      <c r="B25" s="20"/>
      <c r="C25" s="58" t="s">
        <v>29</v>
      </c>
      <c r="D25" s="59"/>
      <c r="E25" s="60"/>
      <c r="F25" s="58" t="s">
        <v>29</v>
      </c>
      <c r="G25" s="59"/>
      <c r="H25" s="60"/>
      <c r="I25" s="58" t="s">
        <v>29</v>
      </c>
      <c r="J25" s="59"/>
      <c r="K25" s="60"/>
      <c r="L25" s="58" t="s">
        <v>29</v>
      </c>
      <c r="M25" s="59"/>
      <c r="N25" s="60"/>
      <c r="O25" s="58" t="s">
        <v>29</v>
      </c>
      <c r="P25" s="59"/>
      <c r="Q25" s="60"/>
    </row>
    <row r="26" spans="1:19" ht="15.75" thickBot="1">
      <c r="A26" s="61"/>
      <c r="B26" s="8"/>
      <c r="C26" s="62" t="s">
        <v>15</v>
      </c>
      <c r="D26" s="63">
        <f>SUM(D24:D25)</f>
        <v>31686.598400000003</v>
      </c>
      <c r="E26" s="64">
        <f>SUM(E24-E23)*12+E23</f>
        <v>86148.038400000005</v>
      </c>
      <c r="F26" s="62" t="s">
        <v>15</v>
      </c>
      <c r="G26" s="63">
        <f>SUM(G24:G25)</f>
        <v>56372.712799999994</v>
      </c>
      <c r="H26" s="64">
        <f>SUM(H24-H23)*12+H23</f>
        <v>154325.75279999999</v>
      </c>
      <c r="I26" s="62" t="s">
        <v>15</v>
      </c>
      <c r="J26" s="63">
        <f>SUM(J24:J25)</f>
        <v>11153</v>
      </c>
      <c r="K26" s="64">
        <f>SUM(K24-K23)*12+K23</f>
        <v>27555</v>
      </c>
      <c r="L26" s="62" t="s">
        <v>15</v>
      </c>
      <c r="M26" s="63">
        <f>SUM(M24:M25)</f>
        <v>8784.7999999999993</v>
      </c>
      <c r="N26" s="64">
        <f>SUM(N24-N23)*12+N23</f>
        <v>24914.399999999998</v>
      </c>
      <c r="O26" s="62" t="s">
        <v>15</v>
      </c>
      <c r="P26" s="63">
        <f>SUM(P24:P25)</f>
        <v>48860.76</v>
      </c>
      <c r="Q26" s="64">
        <f>SUM(Q24-Q23)*12+Q23</f>
        <v>141278.28</v>
      </c>
      <c r="R26" s="39"/>
      <c r="S26" s="39"/>
    </row>
    <row r="27" spans="1:19" ht="15.75" thickBot="1">
      <c r="A27" s="65"/>
      <c r="B27" s="65"/>
      <c r="C27" s="66"/>
      <c r="D27" s="67"/>
      <c r="E27" s="68"/>
      <c r="F27" s="66"/>
      <c r="G27" s="67"/>
      <c r="H27" s="68"/>
      <c r="I27" s="66"/>
      <c r="J27" s="67"/>
      <c r="K27" s="68"/>
      <c r="L27" s="66"/>
      <c r="M27" s="67"/>
      <c r="N27" s="68"/>
      <c r="O27" s="66"/>
      <c r="P27" s="67"/>
      <c r="Q27" s="68"/>
      <c r="R27" s="39"/>
      <c r="S27" s="39"/>
    </row>
    <row r="28" spans="1:19" ht="15.75" thickBot="1">
      <c r="C28" s="69" t="s">
        <v>30</v>
      </c>
      <c r="D28" s="70" t="s">
        <v>31</v>
      </c>
      <c r="E28" s="71" t="s">
        <v>32</v>
      </c>
      <c r="F28" s="69" t="s">
        <v>30</v>
      </c>
      <c r="G28" s="70" t="s">
        <v>31</v>
      </c>
      <c r="H28" s="10" t="s">
        <v>32</v>
      </c>
      <c r="I28" s="69" t="s">
        <v>30</v>
      </c>
      <c r="J28" s="70" t="s">
        <v>31</v>
      </c>
      <c r="K28" s="71" t="s">
        <v>32</v>
      </c>
      <c r="L28" s="69" t="s">
        <v>30</v>
      </c>
      <c r="M28" s="70" t="s">
        <v>31</v>
      </c>
      <c r="N28" s="10" t="s">
        <v>32</v>
      </c>
      <c r="O28" s="69" t="s">
        <v>30</v>
      </c>
      <c r="P28" s="70" t="s">
        <v>31</v>
      </c>
      <c r="Q28" s="10" t="s">
        <v>32</v>
      </c>
    </row>
    <row r="29" spans="1:19">
      <c r="A29" s="72" t="s">
        <v>33</v>
      </c>
      <c r="B29" s="73"/>
      <c r="C29" s="74"/>
      <c r="D29" s="75">
        <f>SUM(D26)</f>
        <v>31686.598400000003</v>
      </c>
      <c r="E29" s="76">
        <f>SUM(D26-D18)</f>
        <v>27230.720000000001</v>
      </c>
      <c r="F29" s="74"/>
      <c r="G29" s="75">
        <f>SUM(G26)</f>
        <v>56372.712799999994</v>
      </c>
      <c r="H29" s="76">
        <f>SUM(G26-G18)</f>
        <v>48976.52</v>
      </c>
      <c r="I29" s="74"/>
      <c r="J29" s="75">
        <f>SUM(J26)</f>
        <v>11153</v>
      </c>
      <c r="K29" s="76">
        <f>SUM(J26-J18)</f>
        <v>10601</v>
      </c>
      <c r="L29" s="74"/>
      <c r="M29" s="75">
        <f>SUM(M26)</f>
        <v>8784.7999999999993</v>
      </c>
      <c r="N29" s="76">
        <f>SUM(M26-M18)</f>
        <v>8064.7999999999993</v>
      </c>
      <c r="O29" s="74"/>
      <c r="P29" s="75">
        <f>SUM(P26)</f>
        <v>48860.76</v>
      </c>
      <c r="Q29" s="76">
        <f>SUM(P26-P18)</f>
        <v>46208.76</v>
      </c>
    </row>
    <row r="30" spans="1:19">
      <c r="A30" s="77" t="s">
        <v>34</v>
      </c>
      <c r="B30" s="78"/>
      <c r="C30" s="79"/>
      <c r="D30" s="80">
        <f>SUM(D29)*0.3495</f>
        <v>11074.466140800001</v>
      </c>
      <c r="E30" s="81">
        <f>SUM(E29)*0.3495</f>
        <v>9517.1366400000006</v>
      </c>
      <c r="F30" s="79"/>
      <c r="G30" s="80">
        <f>SUM(G29)*0.3495</f>
        <v>19702.263123599998</v>
      </c>
      <c r="H30" s="81">
        <f>SUM(H29)*0.3495</f>
        <v>17117.293739999997</v>
      </c>
      <c r="I30" s="79"/>
      <c r="J30" s="80">
        <f>SUM(J29)*0.3495</f>
        <v>3897.9734999999996</v>
      </c>
      <c r="K30" s="81">
        <f>SUM(K29)*0.3495</f>
        <v>3705.0494999999996</v>
      </c>
      <c r="L30" s="79"/>
      <c r="M30" s="80">
        <f>SUM(M29)*0.3495</f>
        <v>3070.2875999999997</v>
      </c>
      <c r="N30" s="81">
        <f>SUM(N29)*0.3495</f>
        <v>2818.6475999999998</v>
      </c>
      <c r="O30" s="79"/>
      <c r="P30" s="80">
        <f>SUM(P29)*0.3495</f>
        <v>17076.835619999998</v>
      </c>
      <c r="Q30" s="81">
        <f>SUM(Q29)*0.3495</f>
        <v>16149.96162</v>
      </c>
    </row>
    <row r="31" spans="1:19" ht="15.75" thickBot="1">
      <c r="A31" s="82" t="s">
        <v>35</v>
      </c>
      <c r="B31" s="83"/>
      <c r="C31" s="84">
        <f t="shared" ref="C31:Q31" si="0">SUM(C29:C30)</f>
        <v>0</v>
      </c>
      <c r="D31" s="85">
        <f>SUM(D29:D30)</f>
        <v>42761.064540800005</v>
      </c>
      <c r="E31" s="86">
        <f>SUM(E29:E30)</f>
        <v>36747.856639999998</v>
      </c>
      <c r="F31" s="84">
        <f t="shared" si="0"/>
        <v>0</v>
      </c>
      <c r="G31" s="85">
        <f t="shared" si="0"/>
        <v>76074.975923599995</v>
      </c>
      <c r="H31" s="86">
        <f t="shared" si="0"/>
        <v>66093.813739999998</v>
      </c>
      <c r="I31" s="84">
        <f t="shared" si="0"/>
        <v>0</v>
      </c>
      <c r="J31" s="85">
        <f t="shared" si="0"/>
        <v>15050.9735</v>
      </c>
      <c r="K31" s="86">
        <f t="shared" si="0"/>
        <v>14306.049499999999</v>
      </c>
      <c r="L31" s="84">
        <f t="shared" si="0"/>
        <v>0</v>
      </c>
      <c r="M31" s="85">
        <f t="shared" si="0"/>
        <v>11855.087599999999</v>
      </c>
      <c r="N31" s="86">
        <f t="shared" si="0"/>
        <v>10883.4476</v>
      </c>
      <c r="O31" s="84">
        <f t="shared" si="0"/>
        <v>0</v>
      </c>
      <c r="P31" s="85">
        <f t="shared" si="0"/>
        <v>65937.595620000007</v>
      </c>
      <c r="Q31" s="86">
        <f t="shared" si="0"/>
        <v>62358.721620000004</v>
      </c>
    </row>
    <row r="32" spans="1:19">
      <c r="A32" s="87" t="s">
        <v>36</v>
      </c>
      <c r="D32" s="88">
        <f>SUM(C31-D31)</f>
        <v>-42761.064540800005</v>
      </c>
      <c r="E32" s="88">
        <f>SUM(C31-E31)</f>
        <v>-36747.856639999998</v>
      </c>
      <c r="G32" s="88">
        <f>SUM(F31-G31)</f>
        <v>-76074.975923599995</v>
      </c>
      <c r="H32" s="88">
        <f>SUM(F31-H31)</f>
        <v>-66093.813739999998</v>
      </c>
      <c r="J32" s="88">
        <f>SUM(I31-J31)</f>
        <v>-15050.9735</v>
      </c>
      <c r="K32" s="88">
        <f>SUM(I31-K31)</f>
        <v>-14306.049499999999</v>
      </c>
      <c r="M32" s="88">
        <f>SUM(L31-M31)</f>
        <v>-11855.087599999999</v>
      </c>
      <c r="N32" s="88">
        <f>SUM(L31-N31)</f>
        <v>-10883.4476</v>
      </c>
      <c r="P32" s="88">
        <f>SUM(O31-P31)</f>
        <v>-65937.595620000007</v>
      </c>
      <c r="Q32" s="88">
        <f>SUM(O31-Q31)</f>
        <v>-62358.721620000004</v>
      </c>
    </row>
    <row r="33" spans="1:20">
      <c r="A33" s="39">
        <f>SUM(C31+F31)</f>
        <v>0</v>
      </c>
    </row>
    <row r="34" spans="1:20">
      <c r="C34" s="89"/>
      <c r="D34" s="90">
        <f>SUM(D24*1.05%)</f>
        <v>332.70928320000007</v>
      </c>
      <c r="E34" s="91"/>
      <c r="G34" s="90">
        <f>SUM(G24*1.05%)</f>
        <v>591.91348440000002</v>
      </c>
      <c r="J34" s="90">
        <f>SUM(J24*1.05%)</f>
        <v>117.10650000000001</v>
      </c>
      <c r="M34" s="90">
        <f>SUM(M24*1.05%)</f>
        <v>92.240399999999994</v>
      </c>
      <c r="N34" s="90"/>
      <c r="P34" s="90">
        <f>SUM(P24*1.05%)</f>
        <v>513.03798000000006</v>
      </c>
    </row>
    <row r="35" spans="1:20">
      <c r="Q35" t="s">
        <v>48</v>
      </c>
      <c r="R35" s="99" t="s">
        <v>53</v>
      </c>
    </row>
    <row r="36" spans="1:20">
      <c r="C36" s="92">
        <v>611</v>
      </c>
      <c r="D36" s="39">
        <f>ROUND(D7+D19,0)</f>
        <v>24755</v>
      </c>
      <c r="F36" s="92">
        <v>611</v>
      </c>
      <c r="G36" s="39">
        <f>ROUND(G7+G19,0)</f>
        <v>41090</v>
      </c>
      <c r="I36" s="92">
        <v>611</v>
      </c>
      <c r="J36" s="39">
        <f>ROUND(J7+J19,0)</f>
        <v>8353</v>
      </c>
      <c r="L36" s="92">
        <v>611</v>
      </c>
      <c r="M36" s="39">
        <f>ROUND(M7+M19,0)</f>
        <v>7047</v>
      </c>
      <c r="O36" s="92">
        <v>611</v>
      </c>
      <c r="P36" s="39">
        <f>ROUND(P7+P19,0)</f>
        <v>40431</v>
      </c>
      <c r="Q36">
        <v>50538</v>
      </c>
      <c r="R36">
        <v>8650.1200000000008</v>
      </c>
    </row>
    <row r="37" spans="1:20">
      <c r="C37" s="93">
        <v>612001</v>
      </c>
      <c r="D37" s="39">
        <f>ROUND(D12,0)</f>
        <v>0</v>
      </c>
      <c r="F37" s="93">
        <v>612001</v>
      </c>
      <c r="G37" s="39">
        <f>ROUND(G12,0)</f>
        <v>816</v>
      </c>
      <c r="I37" s="93">
        <v>612001</v>
      </c>
      <c r="J37" s="39">
        <f>ROUND(J12,0)</f>
        <v>0</v>
      </c>
      <c r="L37" s="93">
        <v>612001</v>
      </c>
      <c r="M37" s="39">
        <f>ROUND(M12,0)</f>
        <v>800</v>
      </c>
      <c r="O37" s="93">
        <v>612001</v>
      </c>
      <c r="P37" s="39">
        <f>ROUND(P12,0)</f>
        <v>656</v>
      </c>
      <c r="Q37">
        <v>820</v>
      </c>
      <c r="R37">
        <v>40.909999999999997</v>
      </c>
    </row>
    <row r="38" spans="1:20">
      <c r="C38" s="93">
        <v>612002</v>
      </c>
      <c r="D38" s="39">
        <f>ROUND(D14+D16-D12,0)</f>
        <v>2476</v>
      </c>
      <c r="F38" s="93">
        <v>612002</v>
      </c>
      <c r="G38" s="39">
        <f>ROUND(G14+G16-G12,0)</f>
        <v>7071</v>
      </c>
      <c r="I38" s="93">
        <v>612002</v>
      </c>
      <c r="J38" s="39">
        <f>ROUND(J14+J16-J12,0)</f>
        <v>328</v>
      </c>
      <c r="L38" s="93">
        <v>612002</v>
      </c>
      <c r="M38" s="39">
        <f>ROUND(M14+M16-M12,0)</f>
        <v>218</v>
      </c>
      <c r="O38" s="93">
        <v>612002</v>
      </c>
      <c r="P38" s="39">
        <f>ROUND(P14+P16-P12,0)</f>
        <v>5122</v>
      </c>
      <c r="Q38">
        <v>6403</v>
      </c>
      <c r="R38">
        <v>251.32</v>
      </c>
    </row>
    <row r="39" spans="1:20">
      <c r="C39" s="93">
        <v>614</v>
      </c>
      <c r="D39" s="39">
        <f>ROUND(D18+D21,0)</f>
        <v>4456</v>
      </c>
      <c r="F39" s="93">
        <v>614</v>
      </c>
      <c r="G39" s="39">
        <f>ROUND(G18+G21,0)</f>
        <v>7396</v>
      </c>
      <c r="I39" s="93">
        <v>614</v>
      </c>
      <c r="J39" s="39">
        <f>ROUND(J18+J21,0)</f>
        <v>552</v>
      </c>
      <c r="L39" s="93">
        <v>614</v>
      </c>
      <c r="M39" s="39">
        <f>ROUND(M18+M21,0)</f>
        <v>720</v>
      </c>
      <c r="O39" s="93">
        <v>614</v>
      </c>
      <c r="P39" s="39">
        <f>ROUND(P18+P21,0)</f>
        <v>2652</v>
      </c>
      <c r="Q39">
        <v>2652</v>
      </c>
    </row>
    <row r="40" spans="1:20">
      <c r="C40" s="93"/>
      <c r="F40" s="93"/>
      <c r="I40" s="93"/>
      <c r="L40" s="93"/>
      <c r="O40" s="93"/>
    </row>
    <row r="41" spans="1:20">
      <c r="C41" s="94">
        <v>616</v>
      </c>
      <c r="F41" s="94">
        <v>616</v>
      </c>
      <c r="I41" s="94">
        <v>616</v>
      </c>
      <c r="L41" s="94">
        <v>616</v>
      </c>
      <c r="O41" s="94">
        <v>616</v>
      </c>
    </row>
    <row r="42" spans="1:20">
      <c r="D42" s="39">
        <f>SUM(D36:D41)</f>
        <v>31687</v>
      </c>
      <c r="G42" s="39">
        <f>SUM(G36:G41)</f>
        <v>56373</v>
      </c>
      <c r="H42" s="90">
        <f>SUM(D42+G42)</f>
        <v>88060</v>
      </c>
      <c r="J42" s="39">
        <f>SUM(J36:J41)</f>
        <v>9233</v>
      </c>
      <c r="M42" s="39">
        <f>SUM(M36:M41)</f>
        <v>8785</v>
      </c>
      <c r="P42" s="39">
        <f>SUM(P36:P41)</f>
        <v>48861</v>
      </c>
      <c r="Q42">
        <v>60413</v>
      </c>
      <c r="R42">
        <f>SUM(R36:R41)</f>
        <v>8942.35</v>
      </c>
    </row>
    <row r="43" spans="1:20">
      <c r="C43" s="95">
        <v>642016</v>
      </c>
      <c r="D43" s="96">
        <f>ROUND(D22,0)*1.3495</f>
        <v>0</v>
      </c>
      <c r="F43" s="95">
        <v>642016</v>
      </c>
      <c r="G43" s="96">
        <f>ROUND(G22,0)*1.3495</f>
        <v>0</v>
      </c>
      <c r="I43" s="95">
        <v>642016</v>
      </c>
      <c r="J43" s="96">
        <f>ROUND(J22,0)*1.3495</f>
        <v>2591.04</v>
      </c>
      <c r="L43" s="95">
        <v>642016</v>
      </c>
      <c r="M43" s="96">
        <f>ROUND(M22,0)*1.3495</f>
        <v>0</v>
      </c>
      <c r="O43" s="95">
        <v>642016</v>
      </c>
      <c r="P43" s="96">
        <f>ROUND(P22,0)*1.3495</f>
        <v>0</v>
      </c>
      <c r="Q43">
        <v>0</v>
      </c>
      <c r="R43">
        <v>1079.03</v>
      </c>
      <c r="S43" t="s">
        <v>50</v>
      </c>
    </row>
    <row r="44" spans="1:20">
      <c r="B44" s="100"/>
      <c r="C44" s="87"/>
      <c r="D44" s="101"/>
      <c r="E44" s="101"/>
      <c r="F44" s="87"/>
      <c r="G44" s="87"/>
      <c r="H44" s="87"/>
      <c r="I44" s="87"/>
      <c r="J44" s="87"/>
      <c r="K44" s="87"/>
      <c r="R44">
        <v>2617.39</v>
      </c>
      <c r="S44" t="s">
        <v>51</v>
      </c>
      <c r="T44">
        <f>SUM(R43:R44)</f>
        <v>3696.42</v>
      </c>
    </row>
    <row r="45" spans="1:20">
      <c r="B45" s="87"/>
      <c r="C45" s="102"/>
      <c r="D45" s="103"/>
      <c r="E45" s="103"/>
      <c r="F45" s="87"/>
      <c r="G45" s="87"/>
      <c r="H45" s="87"/>
      <c r="I45" s="87"/>
      <c r="J45" s="87"/>
      <c r="K45" s="87"/>
      <c r="R45">
        <v>1848.33</v>
      </c>
      <c r="S45" t="s">
        <v>52</v>
      </c>
    </row>
    <row r="46" spans="1:20">
      <c r="B46" s="87"/>
      <c r="C46" s="104"/>
      <c r="D46" s="103"/>
      <c r="E46" s="103"/>
      <c r="F46" s="87"/>
      <c r="G46" s="87"/>
      <c r="H46" s="87"/>
      <c r="I46" s="87"/>
      <c r="J46" s="87"/>
      <c r="K46" s="87"/>
      <c r="P46" s="90">
        <f>SUM(P42*1.3495)</f>
        <v>65937.919499999989</v>
      </c>
    </row>
    <row r="47" spans="1:20">
      <c r="B47" s="87"/>
      <c r="C47" s="87"/>
      <c r="D47" s="87"/>
      <c r="E47" s="87"/>
      <c r="F47" s="87"/>
      <c r="G47" s="87"/>
      <c r="H47" s="87"/>
      <c r="I47" s="87"/>
      <c r="J47" s="87"/>
      <c r="K47" s="87"/>
      <c r="R47">
        <f>SUM(R42:R46)</f>
        <v>14487.1</v>
      </c>
    </row>
    <row r="48" spans="1:20">
      <c r="B48" s="100"/>
      <c r="C48" s="87"/>
      <c r="D48" s="105"/>
      <c r="E48" s="87"/>
      <c r="F48" s="87"/>
      <c r="G48" s="87"/>
      <c r="H48" s="87"/>
      <c r="I48" s="87"/>
      <c r="J48" s="87"/>
      <c r="K48" s="87"/>
    </row>
    <row r="49" spans="2:11">
      <c r="B49" s="87"/>
      <c r="C49" s="106"/>
      <c r="D49" s="107"/>
      <c r="E49" s="87"/>
      <c r="F49" s="87"/>
      <c r="G49" s="108"/>
      <c r="H49" s="87"/>
      <c r="I49" s="107"/>
      <c r="J49" s="87"/>
      <c r="K49" s="87"/>
    </row>
    <row r="50" spans="2:11">
      <c r="B50" s="87"/>
      <c r="C50" s="106"/>
      <c r="D50" s="107"/>
      <c r="E50" s="108"/>
      <c r="F50" s="87"/>
      <c r="G50" s="108"/>
      <c r="H50" s="87"/>
      <c r="I50" s="108"/>
      <c r="J50" s="87"/>
      <c r="K50" s="87"/>
    </row>
    <row r="51" spans="2:11">
      <c r="B51" s="87"/>
      <c r="C51" s="106"/>
      <c r="D51" s="107"/>
      <c r="E51" s="108"/>
      <c r="F51" s="87"/>
      <c r="G51" s="108"/>
      <c r="H51" s="87"/>
      <c r="I51" s="108"/>
      <c r="J51" s="87"/>
      <c r="K51" s="87"/>
    </row>
    <row r="52" spans="2:11">
      <c r="B52" s="87"/>
      <c r="C52" s="106"/>
      <c r="D52" s="107"/>
      <c r="E52" s="108"/>
      <c r="F52" s="87"/>
      <c r="G52" s="108"/>
      <c r="H52" s="87"/>
      <c r="I52" s="108"/>
      <c r="J52" s="87"/>
      <c r="K52" s="87"/>
    </row>
    <row r="53" spans="2:11">
      <c r="B53" s="87"/>
      <c r="C53" s="87"/>
      <c r="D53" s="107"/>
      <c r="E53" s="87"/>
      <c r="F53" s="109"/>
      <c r="G53" s="109"/>
      <c r="H53" s="87"/>
      <c r="I53" s="87"/>
      <c r="J53" s="87"/>
      <c r="K53" s="87"/>
    </row>
    <row r="54" spans="2:11">
      <c r="B54" s="87"/>
      <c r="C54" s="87"/>
      <c r="D54" s="87"/>
      <c r="E54" s="106"/>
      <c r="F54" s="109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109"/>
      <c r="G56" s="110"/>
      <c r="H56" s="87"/>
      <c r="I56" s="87"/>
      <c r="J56" s="87"/>
      <c r="K56" s="87"/>
    </row>
    <row r="57" spans="2:11">
      <c r="B57" s="87"/>
      <c r="C57" s="87"/>
      <c r="D57" s="87"/>
      <c r="E57" s="87"/>
      <c r="F57" s="109"/>
      <c r="G57" s="110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</sheetData>
  <pageMargins left="0.7" right="0.7" top="0.75" bottom="0.75" header="0.3" footer="0.3"/>
  <pageSetup paperSize="8" scale="70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tabSelected="1" view="pageBreakPreview" topLeftCell="B114" zoomScale="82" zoomScaleNormal="77" zoomScaleSheetLayoutView="82" workbookViewId="0">
      <selection activeCell="H95" sqref="H95"/>
    </sheetView>
  </sheetViews>
  <sheetFormatPr defaultRowHeight="15"/>
  <cols>
    <col min="1" max="1" width="18.42578125" customWidth="1"/>
    <col min="2" max="2" width="20.85546875" customWidth="1"/>
    <col min="3" max="3" width="19" customWidth="1"/>
    <col min="4" max="4" width="18.7109375" customWidth="1"/>
    <col min="5" max="5" width="18.28515625" customWidth="1"/>
    <col min="6" max="6" width="15.7109375" customWidth="1"/>
    <col min="7" max="7" width="18.28515625" customWidth="1"/>
    <col min="8" max="10" width="15.7109375" customWidth="1"/>
    <col min="11" max="11" width="18.28515625" customWidth="1"/>
    <col min="12" max="12" width="15.7109375" customWidth="1"/>
    <col min="13" max="13" width="17.5703125" customWidth="1"/>
    <col min="14" max="14" width="15.7109375" customWidth="1"/>
  </cols>
  <sheetData>
    <row r="1" spans="1:14">
      <c r="A1" s="294" t="s">
        <v>47</v>
      </c>
      <c r="B1" s="294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 thickBot="1">
      <c r="A2" s="116" t="s">
        <v>38</v>
      </c>
      <c r="B2" s="117">
        <v>43830</v>
      </c>
      <c r="G2" s="1"/>
      <c r="H2" s="111"/>
    </row>
    <row r="3" spans="1:14">
      <c r="A3" s="72" t="s">
        <v>55</v>
      </c>
      <c r="B3" s="118">
        <v>610</v>
      </c>
      <c r="C3" s="118">
        <v>620</v>
      </c>
      <c r="D3" s="118">
        <v>631</v>
      </c>
      <c r="E3" s="118">
        <v>632</v>
      </c>
      <c r="F3" s="118">
        <v>633</v>
      </c>
      <c r="G3" s="118">
        <v>634</v>
      </c>
      <c r="H3" s="118">
        <v>635</v>
      </c>
      <c r="I3" s="118">
        <v>636</v>
      </c>
      <c r="J3" s="118">
        <v>637</v>
      </c>
      <c r="K3" s="118">
        <v>630</v>
      </c>
      <c r="L3" s="118">
        <v>640</v>
      </c>
      <c r="M3" s="118">
        <v>700</v>
      </c>
      <c r="N3" s="119" t="s">
        <v>28</v>
      </c>
    </row>
    <row r="4" spans="1:14" ht="15.75" thickBot="1">
      <c r="A4" s="82" t="s">
        <v>56</v>
      </c>
      <c r="B4" s="120" t="s">
        <v>57</v>
      </c>
      <c r="C4" s="120" t="s">
        <v>58</v>
      </c>
      <c r="D4" s="120" t="s">
        <v>59</v>
      </c>
      <c r="E4" s="120" t="s">
        <v>60</v>
      </c>
      <c r="F4" s="120" t="s">
        <v>61</v>
      </c>
      <c r="G4" s="120" t="s">
        <v>40</v>
      </c>
      <c r="H4" s="120" t="s">
        <v>62</v>
      </c>
      <c r="I4" s="120" t="s">
        <v>63</v>
      </c>
      <c r="J4" s="120" t="s">
        <v>64</v>
      </c>
      <c r="K4" s="120" t="s">
        <v>65</v>
      </c>
      <c r="L4" s="120" t="s">
        <v>66</v>
      </c>
      <c r="M4" s="120" t="s">
        <v>67</v>
      </c>
      <c r="N4" s="121"/>
    </row>
    <row r="5" spans="1:14">
      <c r="A5" s="122" t="s">
        <v>4</v>
      </c>
      <c r="B5" s="123">
        <v>31696</v>
      </c>
      <c r="C5" s="123">
        <v>11316</v>
      </c>
      <c r="D5" s="123">
        <v>28</v>
      </c>
      <c r="E5" s="123">
        <v>2060</v>
      </c>
      <c r="F5" s="123">
        <v>3593</v>
      </c>
      <c r="G5" s="123">
        <v>0</v>
      </c>
      <c r="H5" s="123">
        <v>225</v>
      </c>
      <c r="I5" s="124">
        <v>294</v>
      </c>
      <c r="J5" s="123">
        <v>5174</v>
      </c>
      <c r="K5" s="123">
        <f t="shared" ref="K5:K10" si="0">SUM(D5:J5)</f>
        <v>11374</v>
      </c>
      <c r="L5" s="124">
        <v>200</v>
      </c>
      <c r="M5" s="125"/>
      <c r="N5" s="126">
        <f t="shared" ref="N5:N18" si="1">SUM(B5,C5,K5,L5,M5,)</f>
        <v>54586</v>
      </c>
    </row>
    <row r="6" spans="1:14">
      <c r="A6" s="77" t="s">
        <v>68</v>
      </c>
      <c r="B6" s="166">
        <v>31696.02</v>
      </c>
      <c r="C6" s="166">
        <v>11317.77</v>
      </c>
      <c r="D6" s="166">
        <v>28.69</v>
      </c>
      <c r="E6" s="166">
        <v>2061.1</v>
      </c>
      <c r="F6" s="166">
        <v>3594.48</v>
      </c>
      <c r="G6" s="166">
        <v>0</v>
      </c>
      <c r="H6" s="166">
        <v>225.16</v>
      </c>
      <c r="I6" s="166">
        <v>156</v>
      </c>
      <c r="J6" s="166">
        <v>4071.08</v>
      </c>
      <c r="K6" s="166">
        <f t="shared" si="0"/>
        <v>10136.51</v>
      </c>
      <c r="L6" s="166">
        <v>200.53</v>
      </c>
      <c r="M6" s="166"/>
      <c r="N6" s="128">
        <f t="shared" si="1"/>
        <v>53350.83</v>
      </c>
    </row>
    <row r="7" spans="1:14">
      <c r="A7" s="77" t="s">
        <v>69</v>
      </c>
      <c r="B7" s="166"/>
      <c r="C7" s="166"/>
      <c r="D7" s="166"/>
      <c r="E7" s="166"/>
      <c r="F7" s="166"/>
      <c r="G7" s="166"/>
      <c r="H7" s="166"/>
      <c r="I7" s="166"/>
      <c r="J7" s="166"/>
      <c r="K7" s="166">
        <f t="shared" si="0"/>
        <v>0</v>
      </c>
      <c r="L7" s="166"/>
      <c r="M7" s="166"/>
      <c r="N7" s="128">
        <f t="shared" si="1"/>
        <v>0</v>
      </c>
    </row>
    <row r="8" spans="1:14">
      <c r="A8" s="77" t="s">
        <v>70</v>
      </c>
      <c r="B8" s="166"/>
      <c r="C8" s="166"/>
      <c r="D8" s="166"/>
      <c r="E8" s="166"/>
      <c r="F8" s="166"/>
      <c r="G8" s="166"/>
      <c r="H8" s="166"/>
      <c r="I8" s="166"/>
      <c r="J8" s="166"/>
      <c r="K8" s="166">
        <f t="shared" si="0"/>
        <v>0</v>
      </c>
      <c r="L8" s="166"/>
      <c r="M8" s="166"/>
      <c r="N8" s="128">
        <f t="shared" si="1"/>
        <v>0</v>
      </c>
    </row>
    <row r="9" spans="1:14">
      <c r="A9" s="77" t="s">
        <v>42</v>
      </c>
      <c r="B9" s="166"/>
      <c r="C9" s="166"/>
      <c r="D9" s="166"/>
      <c r="E9" s="166"/>
      <c r="F9" s="166"/>
      <c r="G9" s="166"/>
      <c r="H9" s="166"/>
      <c r="I9" s="166"/>
      <c r="J9" s="166"/>
      <c r="K9" s="166">
        <f t="shared" si="0"/>
        <v>0</v>
      </c>
      <c r="L9" s="166"/>
      <c r="M9" s="166"/>
      <c r="N9" s="128">
        <f t="shared" si="1"/>
        <v>0</v>
      </c>
    </row>
    <row r="10" spans="1:14">
      <c r="A10" s="77" t="s">
        <v>71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>
        <f t="shared" si="0"/>
        <v>0</v>
      </c>
      <c r="L10" s="166"/>
      <c r="M10" s="166"/>
      <c r="N10" s="128">
        <f t="shared" si="1"/>
        <v>0</v>
      </c>
    </row>
    <row r="11" spans="1:14">
      <c r="A11" s="77" t="s">
        <v>72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>
        <f>SUM(E11:J11)</f>
        <v>0</v>
      </c>
      <c r="L11" s="166">
        <v>1514</v>
      </c>
      <c r="M11" s="166"/>
      <c r="N11" s="128">
        <f t="shared" si="1"/>
        <v>1514</v>
      </c>
    </row>
    <row r="12" spans="1:14">
      <c r="A12" s="77" t="s">
        <v>49</v>
      </c>
      <c r="B12" s="166"/>
      <c r="C12" s="166"/>
      <c r="D12" s="166"/>
      <c r="E12" s="166">
        <v>10.18</v>
      </c>
      <c r="F12" s="166"/>
      <c r="G12" s="166"/>
      <c r="H12" s="166"/>
      <c r="I12" s="166"/>
      <c r="J12" s="166">
        <v>164.96</v>
      </c>
      <c r="K12" s="166">
        <f>SUM(E12:J12)</f>
        <v>175.14000000000001</v>
      </c>
      <c r="L12" s="166"/>
      <c r="M12" s="166"/>
      <c r="N12" s="128">
        <f t="shared" si="1"/>
        <v>175.14000000000001</v>
      </c>
    </row>
    <row r="13" spans="1:14">
      <c r="A13" s="112" t="s">
        <v>73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>
        <f>SUM(D13:J13)</f>
        <v>0</v>
      </c>
      <c r="L13" s="166"/>
      <c r="M13" s="166"/>
      <c r="N13" s="128">
        <f t="shared" si="1"/>
        <v>0</v>
      </c>
    </row>
    <row r="14" spans="1:14">
      <c r="A14" s="112" t="s">
        <v>44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>
        <f>SUM(D14:J14)</f>
        <v>0</v>
      </c>
      <c r="L14" s="166"/>
      <c r="M14" s="166"/>
      <c r="N14" s="128">
        <f t="shared" si="1"/>
        <v>0</v>
      </c>
    </row>
    <row r="15" spans="1:14">
      <c r="A15" s="112" t="s">
        <v>41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>
        <f>SUM(D15:J15)</f>
        <v>0</v>
      </c>
      <c r="L15" s="166"/>
      <c r="M15" s="166"/>
      <c r="N15" s="128">
        <f t="shared" si="1"/>
        <v>0</v>
      </c>
    </row>
    <row r="16" spans="1:14">
      <c r="A16" s="112" t="s">
        <v>39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>
        <f>SUM(D16:J16)</f>
        <v>0</v>
      </c>
      <c r="L16" s="166"/>
      <c r="M16" s="166"/>
      <c r="N16" s="128">
        <f t="shared" si="1"/>
        <v>0</v>
      </c>
    </row>
    <row r="17" spans="1:14">
      <c r="A17" s="77" t="s">
        <v>40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>
        <f t="shared" ref="K17:K18" si="2">SUM(D17:J17)</f>
        <v>0</v>
      </c>
      <c r="L17" s="166"/>
      <c r="M17" s="166"/>
      <c r="N17" s="128">
        <f t="shared" si="1"/>
        <v>0</v>
      </c>
    </row>
    <row r="18" spans="1:14">
      <c r="A18" s="182" t="s">
        <v>106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66">
        <f t="shared" si="2"/>
        <v>0</v>
      </c>
      <c r="L18" s="183"/>
      <c r="M18" s="183"/>
      <c r="N18" s="128">
        <f t="shared" si="1"/>
        <v>0</v>
      </c>
    </row>
    <row r="19" spans="1:14" ht="15.75" thickBot="1">
      <c r="A19" s="82" t="s">
        <v>37</v>
      </c>
      <c r="B19" s="184">
        <f t="shared" ref="B19:M19" si="3">SUM(B6:B17)</f>
        <v>31696.02</v>
      </c>
      <c r="C19" s="184">
        <f t="shared" si="3"/>
        <v>11317.77</v>
      </c>
      <c r="D19" s="184">
        <f t="shared" si="3"/>
        <v>28.69</v>
      </c>
      <c r="E19" s="184">
        <f t="shared" si="3"/>
        <v>2071.2799999999997</v>
      </c>
      <c r="F19" s="184">
        <f>SUM(F6:F18)</f>
        <v>3594.48</v>
      </c>
      <c r="G19" s="184">
        <f t="shared" si="3"/>
        <v>0</v>
      </c>
      <c r="H19" s="184">
        <f t="shared" si="3"/>
        <v>225.16</v>
      </c>
      <c r="I19" s="184">
        <f t="shared" si="3"/>
        <v>156</v>
      </c>
      <c r="J19" s="184">
        <f t="shared" si="3"/>
        <v>4236.04</v>
      </c>
      <c r="K19" s="184">
        <f t="shared" si="3"/>
        <v>10311.65</v>
      </c>
      <c r="L19" s="184">
        <f t="shared" si="3"/>
        <v>1714.53</v>
      </c>
      <c r="M19" s="184">
        <f t="shared" si="3"/>
        <v>0</v>
      </c>
      <c r="N19" s="185">
        <f>SUM(N6:N18)</f>
        <v>55039.97</v>
      </c>
    </row>
    <row r="20" spans="1:14" ht="15.75" thickBo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2"/>
    </row>
    <row r="21" spans="1:14">
      <c r="A21" s="122" t="s">
        <v>5</v>
      </c>
      <c r="B21" s="123">
        <f>44618+1666+6747+8157+0</f>
        <v>61188</v>
      </c>
      <c r="C21" s="123">
        <f>3824+3158+885+8854+505+1735+578+2783+0</f>
        <v>22322</v>
      </c>
      <c r="D21" s="123">
        <v>312</v>
      </c>
      <c r="E21" s="123">
        <f>909+1097+0+65+184</f>
        <v>2255</v>
      </c>
      <c r="F21" s="123">
        <v>4731</v>
      </c>
      <c r="G21" s="123">
        <v>96</v>
      </c>
      <c r="H21" s="123">
        <v>423</v>
      </c>
      <c r="I21" s="124">
        <v>0</v>
      </c>
      <c r="J21" s="123">
        <v>6030</v>
      </c>
      <c r="K21" s="123">
        <f t="shared" ref="K21:K26" si="4">SUM(D21:J21)</f>
        <v>13847</v>
      </c>
      <c r="L21" s="124">
        <v>86</v>
      </c>
      <c r="M21" s="125"/>
      <c r="N21" s="126">
        <f t="shared" ref="N21:N36" si="5">SUM(B21,C21,K21,L21,M21,)</f>
        <v>97443</v>
      </c>
    </row>
    <row r="22" spans="1:14">
      <c r="A22" s="77" t="s">
        <v>68</v>
      </c>
      <c r="B22" s="166">
        <v>61186.51</v>
      </c>
      <c r="C22" s="166">
        <v>22322.9</v>
      </c>
      <c r="D22" s="166">
        <v>312.08999999999997</v>
      </c>
      <c r="E22" s="166">
        <v>2254.15</v>
      </c>
      <c r="F22" s="166">
        <v>4730.5200000000004</v>
      </c>
      <c r="G22" s="166">
        <v>96</v>
      </c>
      <c r="H22" s="166">
        <v>423.24</v>
      </c>
      <c r="I22" s="166"/>
      <c r="J22" s="166">
        <v>5476.15</v>
      </c>
      <c r="K22" s="166">
        <f t="shared" si="4"/>
        <v>13292.15</v>
      </c>
      <c r="L22" s="166">
        <v>85.84</v>
      </c>
      <c r="M22" s="166"/>
      <c r="N22" s="128">
        <f t="shared" si="5"/>
        <v>96887.4</v>
      </c>
    </row>
    <row r="23" spans="1:14">
      <c r="A23" s="77" t="s">
        <v>69</v>
      </c>
      <c r="B23" s="166">
        <v>11626.2</v>
      </c>
      <c r="C23" s="166">
        <v>3175.8</v>
      </c>
      <c r="D23" s="166"/>
      <c r="E23" s="166"/>
      <c r="F23" s="166"/>
      <c r="G23" s="166"/>
      <c r="H23" s="166"/>
      <c r="I23" s="166"/>
      <c r="J23" s="166"/>
      <c r="K23" s="166">
        <f t="shared" si="4"/>
        <v>0</v>
      </c>
      <c r="L23" s="166"/>
      <c r="M23" s="166"/>
      <c r="N23" s="186">
        <f t="shared" si="5"/>
        <v>14802</v>
      </c>
    </row>
    <row r="24" spans="1:14">
      <c r="A24" s="77" t="s">
        <v>70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>
        <f t="shared" si="4"/>
        <v>0</v>
      </c>
      <c r="L24" s="166"/>
      <c r="M24" s="166"/>
      <c r="N24" s="128">
        <f t="shared" si="5"/>
        <v>0</v>
      </c>
    </row>
    <row r="25" spans="1:14">
      <c r="A25" s="77" t="s">
        <v>49</v>
      </c>
      <c r="B25" s="166"/>
      <c r="C25" s="166"/>
      <c r="D25" s="166"/>
      <c r="E25" s="166">
        <v>16.02</v>
      </c>
      <c r="F25" s="166"/>
      <c r="G25" s="166"/>
      <c r="H25" s="166"/>
      <c r="I25" s="166"/>
      <c r="J25" s="166">
        <v>167.27</v>
      </c>
      <c r="K25" s="166">
        <f t="shared" si="4"/>
        <v>183.29000000000002</v>
      </c>
      <c r="L25" s="166"/>
      <c r="M25" s="166"/>
      <c r="N25" s="128">
        <f t="shared" si="5"/>
        <v>183.29000000000002</v>
      </c>
    </row>
    <row r="26" spans="1:14">
      <c r="A26" s="77" t="s">
        <v>42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>
        <f t="shared" si="4"/>
        <v>0</v>
      </c>
      <c r="L26" s="166"/>
      <c r="M26" s="166"/>
      <c r="N26" s="128">
        <f t="shared" si="5"/>
        <v>0</v>
      </c>
    </row>
    <row r="27" spans="1:14">
      <c r="A27" s="77" t="s">
        <v>71</v>
      </c>
      <c r="B27" s="166">
        <v>1395</v>
      </c>
      <c r="C27" s="166">
        <v>488</v>
      </c>
      <c r="D27" s="166"/>
      <c r="E27" s="166"/>
      <c r="F27" s="166"/>
      <c r="G27" s="166"/>
      <c r="H27" s="166"/>
      <c r="I27" s="166"/>
      <c r="J27" s="166"/>
      <c r="K27" s="166">
        <f>SUM(D27:J27)</f>
        <v>0</v>
      </c>
      <c r="L27" s="166"/>
      <c r="M27" s="166"/>
      <c r="N27" s="128">
        <f t="shared" si="5"/>
        <v>1883</v>
      </c>
    </row>
    <row r="28" spans="1:14">
      <c r="A28" s="187" t="s">
        <v>74</v>
      </c>
      <c r="B28" s="166"/>
      <c r="C28" s="166"/>
      <c r="D28" s="166"/>
      <c r="E28" s="166">
        <v>924.76</v>
      </c>
      <c r="F28" s="166"/>
      <c r="G28" s="166"/>
      <c r="H28" s="166"/>
      <c r="I28" s="166"/>
      <c r="J28" s="166"/>
      <c r="K28" s="166">
        <f>SUM(E28:J28)</f>
        <v>924.76</v>
      </c>
      <c r="L28" s="166"/>
      <c r="M28" s="166"/>
      <c r="N28" s="128">
        <f t="shared" si="5"/>
        <v>924.76</v>
      </c>
    </row>
    <row r="29" spans="1:14">
      <c r="A29" s="112" t="s">
        <v>39</v>
      </c>
      <c r="B29" s="166"/>
      <c r="C29" s="166"/>
      <c r="D29" s="166"/>
      <c r="E29" s="166"/>
      <c r="F29" s="166">
        <v>0</v>
      </c>
      <c r="G29" s="166"/>
      <c r="H29" s="166"/>
      <c r="I29" s="166"/>
      <c r="J29" s="166"/>
      <c r="K29" s="166">
        <f t="shared" ref="K29:K30" si="6">SUM(E29:J29)</f>
        <v>0</v>
      </c>
      <c r="L29" s="166"/>
      <c r="M29" s="166"/>
      <c r="N29" s="128">
        <f t="shared" si="5"/>
        <v>0</v>
      </c>
    </row>
    <row r="30" spans="1:14">
      <c r="A30" s="112" t="s">
        <v>73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>
        <f t="shared" si="6"/>
        <v>0</v>
      </c>
      <c r="L30" s="166"/>
      <c r="M30" s="166"/>
      <c r="N30" s="128">
        <f t="shared" si="5"/>
        <v>0</v>
      </c>
    </row>
    <row r="31" spans="1:14">
      <c r="A31" s="112" t="s">
        <v>75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>
        <f>SUM(E31:J31)</f>
        <v>0</v>
      </c>
      <c r="L31" s="166"/>
      <c r="M31" s="166"/>
      <c r="N31" s="128">
        <f t="shared" si="5"/>
        <v>0</v>
      </c>
    </row>
    <row r="32" spans="1:14">
      <c r="A32" s="112" t="s">
        <v>41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>
        <f t="shared" ref="K32:K36" si="7">SUM(E32:J32)</f>
        <v>0</v>
      </c>
      <c r="L32" s="166"/>
      <c r="M32" s="166"/>
      <c r="N32" s="128">
        <f t="shared" si="5"/>
        <v>0</v>
      </c>
    </row>
    <row r="33" spans="1:14">
      <c r="A33" s="112" t="s">
        <v>76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>
        <f t="shared" si="7"/>
        <v>0</v>
      </c>
      <c r="L33" s="166"/>
      <c r="M33" s="166"/>
      <c r="N33" s="128">
        <f t="shared" si="5"/>
        <v>0</v>
      </c>
    </row>
    <row r="34" spans="1:14">
      <c r="A34" s="112" t="s">
        <v>44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>
        <f t="shared" si="7"/>
        <v>0</v>
      </c>
      <c r="L34" s="166"/>
      <c r="M34" s="166"/>
      <c r="N34" s="128">
        <f t="shared" si="5"/>
        <v>0</v>
      </c>
    </row>
    <row r="35" spans="1:14">
      <c r="A35" s="77" t="s">
        <v>40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>
        <f t="shared" si="7"/>
        <v>0</v>
      </c>
      <c r="L35" s="166">
        <v>2426.2800000000002</v>
      </c>
      <c r="M35" s="166"/>
      <c r="N35" s="128">
        <f t="shared" si="5"/>
        <v>2426.2800000000002</v>
      </c>
    </row>
    <row r="36" spans="1:14">
      <c r="A36" s="182" t="s">
        <v>106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66">
        <f t="shared" si="7"/>
        <v>0</v>
      </c>
      <c r="L36" s="183"/>
      <c r="M36" s="183"/>
      <c r="N36" s="128">
        <f t="shared" si="5"/>
        <v>0</v>
      </c>
    </row>
    <row r="37" spans="1:14" ht="15.75" thickBot="1">
      <c r="A37" s="82" t="s">
        <v>37</v>
      </c>
      <c r="B37" s="184">
        <f t="shared" ref="B37:M37" si="8">SUM(B22:B35)</f>
        <v>74207.710000000006</v>
      </c>
      <c r="C37" s="184">
        <f t="shared" si="8"/>
        <v>25986.7</v>
      </c>
      <c r="D37" s="184">
        <f t="shared" si="8"/>
        <v>312.08999999999997</v>
      </c>
      <c r="E37" s="184">
        <f t="shared" si="8"/>
        <v>3194.9300000000003</v>
      </c>
      <c r="F37" s="184">
        <f>SUM(F22:F36)</f>
        <v>4730.5200000000004</v>
      </c>
      <c r="G37" s="184">
        <f t="shared" si="8"/>
        <v>96</v>
      </c>
      <c r="H37" s="184">
        <f t="shared" si="8"/>
        <v>423.24</v>
      </c>
      <c r="I37" s="184">
        <f t="shared" si="8"/>
        <v>0</v>
      </c>
      <c r="J37" s="184">
        <f t="shared" si="8"/>
        <v>5643.42</v>
      </c>
      <c r="K37" s="184">
        <f>SUM(K22:K35)</f>
        <v>14400.2</v>
      </c>
      <c r="L37" s="184">
        <f t="shared" si="8"/>
        <v>2512.1200000000003</v>
      </c>
      <c r="M37" s="184">
        <f t="shared" si="8"/>
        <v>0</v>
      </c>
      <c r="N37" s="188">
        <f>SUM(N22:N36)</f>
        <v>117106.72999999998</v>
      </c>
    </row>
    <row r="38" spans="1:14" ht="15.75" thickBo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</row>
    <row r="39" spans="1:14">
      <c r="A39" s="122" t="s">
        <v>77</v>
      </c>
      <c r="B39" s="136">
        <f t="shared" ref="B39:N40" si="9">SUM(B21+B5)</f>
        <v>92884</v>
      </c>
      <c r="C39" s="136">
        <f t="shared" si="9"/>
        <v>33638</v>
      </c>
      <c r="D39" s="136">
        <f t="shared" si="9"/>
        <v>340</v>
      </c>
      <c r="E39" s="136">
        <f t="shared" si="9"/>
        <v>4315</v>
      </c>
      <c r="F39" s="136">
        <f t="shared" si="9"/>
        <v>8324</v>
      </c>
      <c r="G39" s="136">
        <f t="shared" si="9"/>
        <v>96</v>
      </c>
      <c r="H39" s="136">
        <f t="shared" si="9"/>
        <v>648</v>
      </c>
      <c r="I39" s="136">
        <f t="shared" si="9"/>
        <v>294</v>
      </c>
      <c r="J39" s="136">
        <f t="shared" si="9"/>
        <v>11204</v>
      </c>
      <c r="K39" s="136">
        <f t="shared" si="9"/>
        <v>25221</v>
      </c>
      <c r="L39" s="136">
        <f t="shared" si="9"/>
        <v>286</v>
      </c>
      <c r="M39" s="136">
        <f t="shared" si="9"/>
        <v>0</v>
      </c>
      <c r="N39" s="137">
        <f t="shared" si="9"/>
        <v>152029</v>
      </c>
    </row>
    <row r="40" spans="1:14" ht="15.75" thickBot="1">
      <c r="A40" s="138" t="s">
        <v>78</v>
      </c>
      <c r="B40" s="139">
        <f t="shared" si="9"/>
        <v>92882.53</v>
      </c>
      <c r="C40" s="139">
        <f t="shared" si="9"/>
        <v>33640.67</v>
      </c>
      <c r="D40" s="139">
        <f t="shared" si="9"/>
        <v>340.78</v>
      </c>
      <c r="E40" s="139">
        <f t="shared" si="9"/>
        <v>4315.25</v>
      </c>
      <c r="F40" s="139">
        <f t="shared" si="9"/>
        <v>8325</v>
      </c>
      <c r="G40" s="139">
        <f t="shared" si="9"/>
        <v>96</v>
      </c>
      <c r="H40" s="139">
        <f t="shared" si="9"/>
        <v>648.4</v>
      </c>
      <c r="I40" s="139">
        <f t="shared" si="9"/>
        <v>156</v>
      </c>
      <c r="J40" s="139">
        <f t="shared" si="9"/>
        <v>9547.23</v>
      </c>
      <c r="K40" s="139">
        <f t="shared" si="9"/>
        <v>23428.66</v>
      </c>
      <c r="L40" s="139">
        <f t="shared" si="9"/>
        <v>286.37</v>
      </c>
      <c r="M40" s="139">
        <f t="shared" si="9"/>
        <v>0</v>
      </c>
      <c r="N40" s="140">
        <f t="shared" si="9"/>
        <v>150238.22999999998</v>
      </c>
    </row>
    <row r="41" spans="1:14" ht="15.75" thickBot="1">
      <c r="A41" s="141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4"/>
    </row>
    <row r="42" spans="1:14" ht="15.75" thickBot="1">
      <c r="A42" s="145" t="s">
        <v>49</v>
      </c>
      <c r="B42" s="146">
        <f>SUM(B12+B25)</f>
        <v>0</v>
      </c>
      <c r="C42" s="146">
        <f t="shared" ref="C42:N42" si="10">SUM(C12+C25)</f>
        <v>0</v>
      </c>
      <c r="D42" s="146">
        <f t="shared" si="10"/>
        <v>0</v>
      </c>
      <c r="E42" s="146">
        <f t="shared" si="10"/>
        <v>26.2</v>
      </c>
      <c r="F42" s="146">
        <f t="shared" si="10"/>
        <v>0</v>
      </c>
      <c r="G42" s="146">
        <f t="shared" si="10"/>
        <v>0</v>
      </c>
      <c r="H42" s="146">
        <f t="shared" si="10"/>
        <v>0</v>
      </c>
      <c r="I42" s="146">
        <f t="shared" si="10"/>
        <v>0</v>
      </c>
      <c r="J42" s="146">
        <f t="shared" si="10"/>
        <v>332.23</v>
      </c>
      <c r="K42" s="146">
        <f t="shared" si="10"/>
        <v>358.43000000000006</v>
      </c>
      <c r="L42" s="146">
        <f t="shared" si="10"/>
        <v>0</v>
      </c>
      <c r="M42" s="146">
        <f t="shared" si="10"/>
        <v>0</v>
      </c>
      <c r="N42" s="146">
        <f t="shared" si="10"/>
        <v>358.43000000000006</v>
      </c>
    </row>
    <row r="43" spans="1:14">
      <c r="A43" s="147" t="s">
        <v>6</v>
      </c>
      <c r="B43" s="148">
        <v>8637</v>
      </c>
      <c r="C43" s="148">
        <v>4524</v>
      </c>
      <c r="D43" s="148">
        <v>3</v>
      </c>
      <c r="E43" s="148">
        <v>819</v>
      </c>
      <c r="F43" s="148">
        <v>2090</v>
      </c>
      <c r="G43" s="148">
        <v>0</v>
      </c>
      <c r="H43" s="148">
        <v>1026</v>
      </c>
      <c r="I43" s="148">
        <v>0</v>
      </c>
      <c r="J43" s="148">
        <v>1007</v>
      </c>
      <c r="K43" s="148">
        <f t="shared" ref="K43:K47" si="11">SUM(D43:J43)</f>
        <v>4945</v>
      </c>
      <c r="L43" s="148">
        <v>2290</v>
      </c>
      <c r="M43" s="148"/>
      <c r="N43" s="149">
        <f t="shared" ref="N43:N47" si="12">SUM(B43,C43,K43,L43,M43,)</f>
        <v>20396</v>
      </c>
    </row>
    <row r="44" spans="1:14">
      <c r="A44" s="77" t="s">
        <v>79</v>
      </c>
      <c r="B44" s="166">
        <v>8635.92</v>
      </c>
      <c r="C44" s="166">
        <v>4521.82</v>
      </c>
      <c r="D44" s="166">
        <v>2.81</v>
      </c>
      <c r="E44" s="166">
        <v>698.35</v>
      </c>
      <c r="F44" s="166">
        <v>2090.0100000000002</v>
      </c>
      <c r="G44" s="166">
        <v>0</v>
      </c>
      <c r="H44" s="166">
        <v>1026</v>
      </c>
      <c r="I44" s="166"/>
      <c r="J44" s="166">
        <v>1005.91</v>
      </c>
      <c r="K44" s="166">
        <f t="shared" si="11"/>
        <v>4823.08</v>
      </c>
      <c r="L44" s="166">
        <v>0</v>
      </c>
      <c r="M44" s="127"/>
      <c r="N44" s="128">
        <f t="shared" si="12"/>
        <v>17980.82</v>
      </c>
    </row>
    <row r="45" spans="1:14">
      <c r="A45" s="77" t="s">
        <v>71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>
        <f t="shared" si="11"/>
        <v>0</v>
      </c>
      <c r="L45" s="127"/>
      <c r="M45" s="127"/>
      <c r="N45" s="128">
        <f t="shared" si="12"/>
        <v>0</v>
      </c>
    </row>
    <row r="46" spans="1:14">
      <c r="A46" s="77" t="s">
        <v>80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>
        <f t="shared" si="11"/>
        <v>0</v>
      </c>
      <c r="L46" s="127"/>
      <c r="M46" s="127"/>
      <c r="N46" s="128">
        <f t="shared" si="12"/>
        <v>0</v>
      </c>
    </row>
    <row r="47" spans="1:14">
      <c r="A47" s="77" t="s">
        <v>72</v>
      </c>
      <c r="B47" s="127"/>
      <c r="C47" s="127"/>
      <c r="D47" s="127"/>
      <c r="E47" s="127">
        <v>120</v>
      </c>
      <c r="F47" s="127"/>
      <c r="G47" s="127"/>
      <c r="H47" s="127"/>
      <c r="I47" s="127"/>
      <c r="J47" s="127"/>
      <c r="K47" s="127">
        <f t="shared" si="11"/>
        <v>120</v>
      </c>
      <c r="L47" s="127"/>
      <c r="M47" s="127"/>
      <c r="N47" s="128">
        <f t="shared" si="12"/>
        <v>120</v>
      </c>
    </row>
    <row r="48" spans="1:14" ht="15.75" thickBot="1">
      <c r="A48" s="82" t="s">
        <v>37</v>
      </c>
      <c r="B48" s="129">
        <f>SUM(B44:B47)</f>
        <v>8635.92</v>
      </c>
      <c r="C48" s="129">
        <f>SUM(C44:C47)</f>
        <v>4521.82</v>
      </c>
      <c r="D48" s="129">
        <f>SUM(D44:D47)</f>
        <v>2.81</v>
      </c>
      <c r="E48" s="129">
        <f>SUM(E44:E47)</f>
        <v>818.35</v>
      </c>
      <c r="F48" s="129">
        <f>SUM(F44:F47)</f>
        <v>2090.0100000000002</v>
      </c>
      <c r="G48" s="129">
        <f>SUM(G44:G47)</f>
        <v>0</v>
      </c>
      <c r="H48" s="129">
        <f>SUM(H44:H47)</f>
        <v>1026</v>
      </c>
      <c r="I48" s="129">
        <f>SUM(I44:I47)</f>
        <v>0</v>
      </c>
      <c r="J48" s="129">
        <f>SUM(J44:J47)</f>
        <v>1005.91</v>
      </c>
      <c r="K48" s="129">
        <f>SUM(K44:K47)</f>
        <v>4943.08</v>
      </c>
      <c r="L48" s="129">
        <f>SUM(L44:L47)</f>
        <v>0</v>
      </c>
      <c r="M48" s="129">
        <f>SUM(M44:M47)</f>
        <v>0</v>
      </c>
      <c r="N48" s="189">
        <f>SUM(N44:N47)</f>
        <v>18100.82</v>
      </c>
    </row>
    <row r="49" spans="1:14" ht="15.75" thickBot="1">
      <c r="A49" s="150"/>
      <c r="B49" s="131"/>
      <c r="C49" s="13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2"/>
    </row>
    <row r="50" spans="1:14">
      <c r="A50" s="147" t="s">
        <v>7</v>
      </c>
      <c r="B50" s="153">
        <v>12022</v>
      </c>
      <c r="C50" s="153">
        <v>4177</v>
      </c>
      <c r="D50" s="153">
        <v>17</v>
      </c>
      <c r="E50" s="153">
        <v>1592</v>
      </c>
      <c r="F50" s="153">
        <v>1259</v>
      </c>
      <c r="G50" s="153">
        <v>0</v>
      </c>
      <c r="H50" s="190">
        <v>1002</v>
      </c>
      <c r="I50" s="154">
        <v>0</v>
      </c>
      <c r="J50" s="153">
        <v>1833</v>
      </c>
      <c r="K50" s="153">
        <f>SUM(D50:J50)</f>
        <v>5703</v>
      </c>
      <c r="L50" s="153">
        <v>55</v>
      </c>
      <c r="M50" s="153"/>
      <c r="N50" s="155">
        <f>SUM(B50,C50,K50,L50,M50,)</f>
        <v>21957</v>
      </c>
    </row>
    <row r="51" spans="1:14">
      <c r="A51" s="77" t="s">
        <v>79</v>
      </c>
      <c r="B51" s="191">
        <v>13348.37</v>
      </c>
      <c r="C51" s="191">
        <v>4988.0600000000004</v>
      </c>
      <c r="D51" s="127">
        <v>16.940000000000001</v>
      </c>
      <c r="E51" s="192">
        <v>1379.8</v>
      </c>
      <c r="F51" s="127">
        <v>1259.6400000000001</v>
      </c>
      <c r="G51" s="127"/>
      <c r="H51" s="127">
        <v>1103</v>
      </c>
      <c r="I51" s="127"/>
      <c r="J51" s="127">
        <v>2097.69</v>
      </c>
      <c r="K51" s="127">
        <f>SUM(D51:J51)</f>
        <v>5857.07</v>
      </c>
      <c r="L51" s="127">
        <v>55.38</v>
      </c>
      <c r="M51" s="127"/>
      <c r="N51" s="128">
        <f>SUM(B51,C51,K51,L51,M51,)</f>
        <v>24248.880000000001</v>
      </c>
    </row>
    <row r="52" spans="1:14">
      <c r="A52" s="77" t="s">
        <v>81</v>
      </c>
      <c r="B52" s="156"/>
      <c r="C52" s="156"/>
      <c r="D52" s="127"/>
      <c r="E52" s="127"/>
      <c r="F52" s="127"/>
      <c r="G52" s="127"/>
      <c r="H52" s="127"/>
      <c r="I52" s="127"/>
      <c r="J52" s="127"/>
      <c r="K52" s="127">
        <f t="shared" ref="K52:K56" si="13">SUM(D52:J52)</f>
        <v>0</v>
      </c>
      <c r="L52" s="127"/>
      <c r="M52" s="127"/>
      <c r="N52" s="128">
        <f t="shared" ref="N52:N56" si="14">SUM(B52,C52,K52,L52,M52,)</f>
        <v>0</v>
      </c>
    </row>
    <row r="53" spans="1:14">
      <c r="A53" s="77" t="s">
        <v>80</v>
      </c>
      <c r="B53" s="156"/>
      <c r="C53" s="156"/>
      <c r="D53" s="127"/>
      <c r="E53" s="127"/>
      <c r="F53" s="127"/>
      <c r="G53" s="127"/>
      <c r="H53" s="127"/>
      <c r="I53" s="127"/>
      <c r="J53" s="127"/>
      <c r="K53" s="127">
        <f t="shared" si="13"/>
        <v>0</v>
      </c>
      <c r="L53" s="127"/>
      <c r="M53" s="127"/>
      <c r="N53" s="128">
        <f t="shared" si="14"/>
        <v>0</v>
      </c>
    </row>
    <row r="54" spans="1:14">
      <c r="A54" s="77" t="s">
        <v>72</v>
      </c>
      <c r="B54" s="127">
        <v>46.6</v>
      </c>
      <c r="C54" s="127"/>
      <c r="D54" s="127"/>
      <c r="E54" s="127">
        <v>213</v>
      </c>
      <c r="F54" s="127"/>
      <c r="G54" s="127"/>
      <c r="H54" s="127"/>
      <c r="I54" s="127"/>
      <c r="J54" s="127"/>
      <c r="K54" s="127">
        <f t="shared" si="13"/>
        <v>213</v>
      </c>
      <c r="L54" s="127"/>
      <c r="M54" s="127"/>
      <c r="N54" s="128">
        <f t="shared" si="14"/>
        <v>259.60000000000002</v>
      </c>
    </row>
    <row r="55" spans="1:14">
      <c r="A55" s="182" t="s">
        <v>125</v>
      </c>
      <c r="B55" s="175"/>
      <c r="C55" s="175"/>
      <c r="D55" s="175"/>
      <c r="E55" s="175"/>
      <c r="F55" s="175">
        <v>189.2</v>
      </c>
      <c r="G55" s="175"/>
      <c r="H55" s="175"/>
      <c r="I55" s="175"/>
      <c r="J55" s="175"/>
      <c r="K55" s="127">
        <f t="shared" si="13"/>
        <v>189.2</v>
      </c>
      <c r="L55" s="175"/>
      <c r="M55" s="175"/>
      <c r="N55" s="128">
        <f t="shared" si="14"/>
        <v>189.2</v>
      </c>
    </row>
    <row r="56" spans="1:14">
      <c r="A56" s="182" t="s">
        <v>123</v>
      </c>
      <c r="B56" s="175">
        <v>494</v>
      </c>
      <c r="C56" s="175">
        <v>172.65</v>
      </c>
      <c r="D56" s="175"/>
      <c r="E56" s="175"/>
      <c r="F56" s="175">
        <v>52.7</v>
      </c>
      <c r="G56" s="175"/>
      <c r="H56" s="175"/>
      <c r="I56" s="175"/>
      <c r="J56" s="175"/>
      <c r="K56" s="127">
        <f t="shared" si="13"/>
        <v>52.7</v>
      </c>
      <c r="L56" s="175"/>
      <c r="M56" s="175"/>
      <c r="N56" s="128">
        <f t="shared" si="14"/>
        <v>719.35</v>
      </c>
    </row>
    <row r="57" spans="1:14" ht="15.75" thickBot="1">
      <c r="A57" s="82" t="s">
        <v>37</v>
      </c>
      <c r="B57" s="129">
        <f>SUM(B51:B56)</f>
        <v>13888.970000000001</v>
      </c>
      <c r="C57" s="129">
        <f t="shared" ref="C57:E57" si="15">SUM(C51:C56)</f>
        <v>5160.71</v>
      </c>
      <c r="D57" s="129">
        <f t="shared" si="15"/>
        <v>16.940000000000001</v>
      </c>
      <c r="E57" s="129">
        <f t="shared" si="15"/>
        <v>1592.8</v>
      </c>
      <c r="F57" s="129">
        <f>SUM(F51:F56)</f>
        <v>1501.5400000000002</v>
      </c>
      <c r="G57" s="129">
        <f t="shared" ref="G57:M57" si="16">SUM(G51:G56)</f>
        <v>0</v>
      </c>
      <c r="H57" s="129">
        <f t="shared" si="16"/>
        <v>1103</v>
      </c>
      <c r="I57" s="129">
        <f t="shared" si="16"/>
        <v>0</v>
      </c>
      <c r="J57" s="129">
        <f t="shared" si="16"/>
        <v>2097.69</v>
      </c>
      <c r="K57" s="129">
        <f t="shared" si="16"/>
        <v>6311.9699999999993</v>
      </c>
      <c r="L57" s="129">
        <f t="shared" si="16"/>
        <v>55.38</v>
      </c>
      <c r="M57" s="129">
        <f t="shared" si="16"/>
        <v>0</v>
      </c>
      <c r="N57" s="128">
        <f t="shared" ref="N57" si="17">SUM(B57,C57,K57,L57,M57,)</f>
        <v>25417.030000000002</v>
      </c>
    </row>
    <row r="58" spans="1:14" ht="15.75" thickBo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2"/>
    </row>
    <row r="59" spans="1:14">
      <c r="A59" s="157" t="s">
        <v>82</v>
      </c>
      <c r="B59" s="153">
        <f>SUM(B43+B50+B42)</f>
        <v>20659</v>
      </c>
      <c r="C59" s="153">
        <f>SUM(C43+C50+C42)</f>
        <v>8701</v>
      </c>
      <c r="D59" s="153">
        <f>SUM(D43+D50+D42)</f>
        <v>20</v>
      </c>
      <c r="E59" s="153">
        <f>SUM(E43+E50+E42)</f>
        <v>2437.1999999999998</v>
      </c>
      <c r="F59" s="153">
        <f>SUM(F43+F50+F42)</f>
        <v>3349</v>
      </c>
      <c r="G59" s="153">
        <f>SUM(G43+G50+G42)</f>
        <v>0</v>
      </c>
      <c r="H59" s="153">
        <f>SUM(H43+H50+H42)</f>
        <v>2028</v>
      </c>
      <c r="I59" s="153">
        <f>SUM(I43+I50+I42)</f>
        <v>0</v>
      </c>
      <c r="J59" s="153">
        <f>SUM(J43+J50+J42)</f>
        <v>3172.23</v>
      </c>
      <c r="K59" s="153">
        <f>SUM(K43+K50+K42)</f>
        <v>11006.43</v>
      </c>
      <c r="L59" s="153">
        <f>SUM(L43+L50+L42)</f>
        <v>2345</v>
      </c>
      <c r="M59" s="153"/>
      <c r="N59" s="153">
        <f>SUM(N43+N50+N42+N64)</f>
        <v>122211.43</v>
      </c>
    </row>
    <row r="60" spans="1:14" ht="15.75" thickBot="1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</row>
    <row r="61" spans="1:14">
      <c r="A61" s="72" t="s">
        <v>55</v>
      </c>
      <c r="B61" s="118">
        <v>610</v>
      </c>
      <c r="C61" s="118">
        <v>620</v>
      </c>
      <c r="D61" s="118">
        <v>631</v>
      </c>
      <c r="E61" s="118">
        <v>632</v>
      </c>
      <c r="F61" s="118">
        <v>633</v>
      </c>
      <c r="G61" s="118">
        <v>634</v>
      </c>
      <c r="H61" s="118">
        <v>635</v>
      </c>
      <c r="I61" s="118">
        <v>636</v>
      </c>
      <c r="J61" s="118">
        <v>637</v>
      </c>
      <c r="K61" s="118">
        <v>630</v>
      </c>
      <c r="L61" s="118">
        <v>640</v>
      </c>
      <c r="M61" s="118">
        <v>700</v>
      </c>
      <c r="N61" s="119" t="s">
        <v>28</v>
      </c>
    </row>
    <row r="62" spans="1:14" ht="15.75" thickBot="1">
      <c r="A62" s="82"/>
      <c r="B62" s="120" t="s">
        <v>57</v>
      </c>
      <c r="C62" s="120" t="s">
        <v>58</v>
      </c>
      <c r="D62" s="120" t="s">
        <v>59</v>
      </c>
      <c r="E62" s="120" t="s">
        <v>60</v>
      </c>
      <c r="F62" s="120" t="s">
        <v>61</v>
      </c>
      <c r="G62" s="120" t="s">
        <v>40</v>
      </c>
      <c r="H62" s="120" t="s">
        <v>62</v>
      </c>
      <c r="I62" s="120" t="s">
        <v>63</v>
      </c>
      <c r="J62" s="120" t="s">
        <v>64</v>
      </c>
      <c r="K62" s="120" t="s">
        <v>65</v>
      </c>
      <c r="L62" s="120" t="s">
        <v>66</v>
      </c>
      <c r="M62" s="120" t="s">
        <v>67</v>
      </c>
      <c r="N62" s="121"/>
    </row>
    <row r="63" spans="1:14" ht="15.75" thickBot="1">
      <c r="A63" s="150"/>
      <c r="B63" s="151"/>
      <c r="C63" s="151"/>
      <c r="D63" s="151"/>
      <c r="E63" s="151"/>
      <c r="F63" s="151"/>
      <c r="G63" s="151">
        <v>0</v>
      </c>
      <c r="H63" s="151"/>
      <c r="I63" s="151"/>
      <c r="J63" s="151"/>
      <c r="K63" s="151"/>
      <c r="L63" s="151"/>
      <c r="M63" s="151"/>
      <c r="N63" s="152"/>
    </row>
    <row r="64" spans="1:14">
      <c r="A64" s="147" t="s">
        <v>8</v>
      </c>
      <c r="B64" s="148">
        <v>47468</v>
      </c>
      <c r="C64" s="148">
        <v>15367</v>
      </c>
      <c r="D64" s="148">
        <v>3</v>
      </c>
      <c r="E64" s="148">
        <v>1663</v>
      </c>
      <c r="F64" s="148">
        <v>7373</v>
      </c>
      <c r="G64" s="148">
        <v>34</v>
      </c>
      <c r="H64" s="148">
        <v>6</v>
      </c>
      <c r="I64" s="148">
        <v>855</v>
      </c>
      <c r="J64" s="148">
        <v>4882</v>
      </c>
      <c r="K64" s="148">
        <f>SUM(D64:J64)</f>
        <v>14816</v>
      </c>
      <c r="L64" s="148">
        <v>1849</v>
      </c>
      <c r="M64" s="148"/>
      <c r="N64" s="149">
        <f>SUM(B64,C64,K64,L64,M64,)</f>
        <v>79500</v>
      </c>
    </row>
    <row r="65" spans="1:14">
      <c r="A65" s="77" t="s">
        <v>79</v>
      </c>
      <c r="B65" s="195">
        <v>46448.92</v>
      </c>
      <c r="C65" s="195">
        <v>15369.15</v>
      </c>
      <c r="D65" s="127">
        <v>2.81</v>
      </c>
      <c r="E65" s="195">
        <v>1662.6</v>
      </c>
      <c r="F65" s="195">
        <v>5939.47</v>
      </c>
      <c r="G65" s="127">
        <v>34.07</v>
      </c>
      <c r="H65" s="195">
        <v>6</v>
      </c>
      <c r="I65" s="127">
        <v>855</v>
      </c>
      <c r="J65" s="195">
        <v>4165.5200000000004</v>
      </c>
      <c r="K65" s="127">
        <f>SUM(D65:J65)</f>
        <v>12665.470000000001</v>
      </c>
      <c r="L65" s="195">
        <v>1848.33</v>
      </c>
      <c r="M65" s="127"/>
      <c r="N65" s="128">
        <f>SUM(B65,C65,K65,L65,M65,)</f>
        <v>76331.87000000001</v>
      </c>
    </row>
    <row r="66" spans="1:14">
      <c r="A66" s="77" t="s">
        <v>107</v>
      </c>
      <c r="B66" s="127"/>
      <c r="C66" s="127"/>
      <c r="D66" s="127"/>
      <c r="E66" s="127">
        <v>316.75</v>
      </c>
      <c r="F66" s="127">
        <v>4724</v>
      </c>
      <c r="G66" s="127"/>
      <c r="H66" s="127">
        <v>1020</v>
      </c>
      <c r="I66" s="127"/>
      <c r="J66" s="127"/>
      <c r="K66" s="127">
        <f>SUM(D66:J66)</f>
        <v>6060.75</v>
      </c>
      <c r="L66" s="127"/>
      <c r="M66" s="127"/>
      <c r="N66" s="128">
        <f>SUM(B66,C66,K66,L66,M66,)</f>
        <v>6060.75</v>
      </c>
    </row>
    <row r="67" spans="1:14">
      <c r="A67" s="77"/>
      <c r="B67" s="127"/>
      <c r="C67" s="127"/>
      <c r="D67" s="127"/>
      <c r="E67" s="127"/>
      <c r="F67" s="127"/>
      <c r="G67" s="127"/>
      <c r="H67" s="127"/>
      <c r="I67" s="127"/>
      <c r="J67" s="127"/>
      <c r="K67" s="127">
        <f>SUM(D67:J67)</f>
        <v>0</v>
      </c>
      <c r="L67" s="127"/>
      <c r="M67" s="127"/>
      <c r="N67" s="128">
        <f>SUM(B67,C67,K67,L67,M67,)</f>
        <v>0</v>
      </c>
    </row>
    <row r="68" spans="1:14" ht="15.75" thickBot="1">
      <c r="A68" s="82" t="s">
        <v>37</v>
      </c>
      <c r="B68" s="129">
        <f t="shared" ref="B68:N68" si="18">SUM(B65:B67)</f>
        <v>46448.92</v>
      </c>
      <c r="C68" s="129">
        <f t="shared" si="18"/>
        <v>15369.15</v>
      </c>
      <c r="D68" s="129">
        <f t="shared" si="18"/>
        <v>2.81</v>
      </c>
      <c r="E68" s="129">
        <f t="shared" si="18"/>
        <v>1979.35</v>
      </c>
      <c r="F68" s="129">
        <f t="shared" si="18"/>
        <v>10663.470000000001</v>
      </c>
      <c r="G68" s="129">
        <f t="shared" si="18"/>
        <v>34.07</v>
      </c>
      <c r="H68" s="129">
        <f t="shared" si="18"/>
        <v>1026</v>
      </c>
      <c r="I68" s="129">
        <f t="shared" si="18"/>
        <v>855</v>
      </c>
      <c r="J68" s="129">
        <f t="shared" si="18"/>
        <v>4165.5200000000004</v>
      </c>
      <c r="K68" s="129">
        <f t="shared" si="18"/>
        <v>18726.22</v>
      </c>
      <c r="L68" s="129">
        <f t="shared" si="18"/>
        <v>1848.33</v>
      </c>
      <c r="M68" s="129">
        <f t="shared" si="18"/>
        <v>0</v>
      </c>
      <c r="N68" s="196">
        <f t="shared" si="18"/>
        <v>82392.62000000001</v>
      </c>
    </row>
    <row r="69" spans="1:14" ht="15.75" thickBot="1">
      <c r="A69" s="130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2"/>
    </row>
    <row r="70" spans="1:14">
      <c r="A70" s="114" t="s">
        <v>84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8"/>
    </row>
    <row r="71" spans="1:14">
      <c r="A71" s="77" t="s">
        <v>86</v>
      </c>
      <c r="B71" s="159">
        <f>SUM(B65)</f>
        <v>46448.92</v>
      </c>
      <c r="C71" s="159">
        <f t="shared" ref="C71:N71" si="19">SUM(C65)</f>
        <v>15369.15</v>
      </c>
      <c r="D71" s="159">
        <f t="shared" si="19"/>
        <v>2.81</v>
      </c>
      <c r="E71" s="159">
        <f t="shared" si="19"/>
        <v>1662.6</v>
      </c>
      <c r="F71" s="159">
        <f t="shared" si="19"/>
        <v>5939.47</v>
      </c>
      <c r="G71" s="159">
        <f t="shared" si="19"/>
        <v>34.07</v>
      </c>
      <c r="H71" s="159">
        <f t="shared" si="19"/>
        <v>6</v>
      </c>
      <c r="I71" s="159">
        <f t="shared" si="19"/>
        <v>855</v>
      </c>
      <c r="J71" s="159">
        <f t="shared" si="19"/>
        <v>4165.5200000000004</v>
      </c>
      <c r="K71" s="159">
        <f t="shared" si="19"/>
        <v>12665.470000000001</v>
      </c>
      <c r="L71" s="159">
        <f t="shared" si="19"/>
        <v>1848.33</v>
      </c>
      <c r="M71" s="159">
        <f t="shared" si="19"/>
        <v>0</v>
      </c>
      <c r="N71" s="197">
        <f t="shared" si="19"/>
        <v>76331.87000000001</v>
      </c>
    </row>
    <row r="72" spans="1:14">
      <c r="A72" s="77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97"/>
    </row>
    <row r="73" spans="1:14" ht="15.75" thickBot="1">
      <c r="A73" s="82" t="s">
        <v>88</v>
      </c>
      <c r="B73" s="139">
        <f>SUM(B66)</f>
        <v>0</v>
      </c>
      <c r="C73" s="139">
        <f t="shared" ref="C73:N73" si="20">SUM(C66)</f>
        <v>0</v>
      </c>
      <c r="D73" s="139">
        <f t="shared" si="20"/>
        <v>0</v>
      </c>
      <c r="E73" s="139">
        <f t="shared" si="20"/>
        <v>316.75</v>
      </c>
      <c r="F73" s="139">
        <f t="shared" si="20"/>
        <v>4724</v>
      </c>
      <c r="G73" s="139">
        <f t="shared" si="20"/>
        <v>0</v>
      </c>
      <c r="H73" s="139">
        <f t="shared" si="20"/>
        <v>1020</v>
      </c>
      <c r="I73" s="139">
        <f t="shared" si="20"/>
        <v>0</v>
      </c>
      <c r="J73" s="139">
        <f t="shared" si="20"/>
        <v>0</v>
      </c>
      <c r="K73" s="139">
        <f t="shared" si="20"/>
        <v>6060.75</v>
      </c>
      <c r="L73" s="139">
        <f t="shared" si="20"/>
        <v>0</v>
      </c>
      <c r="M73" s="139">
        <f t="shared" si="20"/>
        <v>0</v>
      </c>
      <c r="N73" s="139">
        <f t="shared" si="20"/>
        <v>6060.75</v>
      </c>
    </row>
    <row r="74" spans="1:14" ht="15.75" thickBot="1">
      <c r="A74" s="198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</row>
    <row r="75" spans="1:14" ht="15.75" thickBot="1">
      <c r="A75" s="200" t="s">
        <v>83</v>
      </c>
      <c r="B75" s="201">
        <f>SUM(B57+B48+B37+B19+B68)</f>
        <v>174877.54</v>
      </c>
      <c r="C75" s="201">
        <f>SUM(C57+C48+C37+C19+C68)</f>
        <v>62356.15</v>
      </c>
      <c r="D75" s="201">
        <f>SUM(D57+D48+D37+D19+D68)</f>
        <v>363.34</v>
      </c>
      <c r="E75" s="201">
        <f>SUM(E57+E48+E37+E19+E68)</f>
        <v>9656.7099999999991</v>
      </c>
      <c r="F75" s="201">
        <f>SUM(F57+F48+F37+F19+F68)</f>
        <v>22580.02</v>
      </c>
      <c r="G75" s="201">
        <f>SUM(G57+G48+G37+G19+G68)</f>
        <v>130.07</v>
      </c>
      <c r="H75" s="201">
        <f>SUM(H57+H48+H37+H19+H68)</f>
        <v>3803.3999999999996</v>
      </c>
      <c r="I75" s="201">
        <f>SUM(I57+I48+I37+I19+I68)</f>
        <v>1011</v>
      </c>
      <c r="J75" s="201">
        <f>SUM(J57+J48+J37+J19+J68)</f>
        <v>17148.580000000002</v>
      </c>
      <c r="K75" s="201">
        <f>SUM(K57+K48+K37+K19+K68)</f>
        <v>54693.120000000003</v>
      </c>
      <c r="L75" s="201">
        <f>SUM(L57+L48+L37+L19+L68)</f>
        <v>6130.3600000000006</v>
      </c>
      <c r="M75" s="201">
        <f>SUM(M57+M48+M37+M19+M68)</f>
        <v>0</v>
      </c>
      <c r="N75" s="201">
        <f>SUM(N57+N48+N37+N19+N68)</f>
        <v>298057.17</v>
      </c>
    </row>
    <row r="76" spans="1:14">
      <c r="A76" s="114" t="s">
        <v>84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8"/>
    </row>
    <row r="77" spans="1:14">
      <c r="A77" s="77" t="s">
        <v>85</v>
      </c>
      <c r="B77" s="159">
        <f t="shared" ref="B77:N77" si="21">SUM(B6+B22)</f>
        <v>92882.53</v>
      </c>
      <c r="C77" s="159">
        <f t="shared" si="21"/>
        <v>33640.67</v>
      </c>
      <c r="D77" s="159">
        <f t="shared" si="21"/>
        <v>340.78</v>
      </c>
      <c r="E77" s="159">
        <f t="shared" si="21"/>
        <v>4315.25</v>
      </c>
      <c r="F77" s="159">
        <f t="shared" si="21"/>
        <v>8325</v>
      </c>
      <c r="G77" s="159">
        <f t="shared" si="21"/>
        <v>96</v>
      </c>
      <c r="H77" s="159">
        <f t="shared" si="21"/>
        <v>648.4</v>
      </c>
      <c r="I77" s="159">
        <f t="shared" si="21"/>
        <v>156</v>
      </c>
      <c r="J77" s="159">
        <f t="shared" si="21"/>
        <v>9547.23</v>
      </c>
      <c r="K77" s="159">
        <f t="shared" si="21"/>
        <v>23428.66</v>
      </c>
      <c r="L77" s="159">
        <f t="shared" si="21"/>
        <v>286.37</v>
      </c>
      <c r="M77" s="159">
        <f t="shared" si="21"/>
        <v>0</v>
      </c>
      <c r="N77" s="159">
        <f t="shared" si="21"/>
        <v>150238.22999999998</v>
      </c>
    </row>
    <row r="78" spans="1:14">
      <c r="A78" s="112" t="s">
        <v>69</v>
      </c>
      <c r="B78" s="159">
        <f t="shared" ref="B78:N78" si="22">SUM(B23+B7)</f>
        <v>11626.2</v>
      </c>
      <c r="C78" s="159">
        <f t="shared" si="22"/>
        <v>3175.8</v>
      </c>
      <c r="D78" s="159">
        <f t="shared" si="22"/>
        <v>0</v>
      </c>
      <c r="E78" s="159">
        <f t="shared" si="22"/>
        <v>0</v>
      </c>
      <c r="F78" s="159">
        <f t="shared" si="22"/>
        <v>0</v>
      </c>
      <c r="G78" s="159">
        <f t="shared" si="22"/>
        <v>0</v>
      </c>
      <c r="H78" s="159">
        <f t="shared" si="22"/>
        <v>0</v>
      </c>
      <c r="I78" s="159">
        <f t="shared" si="22"/>
        <v>0</v>
      </c>
      <c r="J78" s="159">
        <f t="shared" si="22"/>
        <v>0</v>
      </c>
      <c r="K78" s="159">
        <f t="shared" si="22"/>
        <v>0</v>
      </c>
      <c r="L78" s="159">
        <f t="shared" si="22"/>
        <v>0</v>
      </c>
      <c r="M78" s="159">
        <f t="shared" si="22"/>
        <v>0</v>
      </c>
      <c r="N78" s="159">
        <f t="shared" si="22"/>
        <v>14802</v>
      </c>
    </row>
    <row r="79" spans="1:14">
      <c r="A79" s="77" t="s">
        <v>70</v>
      </c>
      <c r="B79" s="159">
        <f>SUM(B8+B24)</f>
        <v>0</v>
      </c>
      <c r="C79" s="159">
        <f t="shared" ref="C79:N79" si="23">SUM(C8+C24)</f>
        <v>0</v>
      </c>
      <c r="D79" s="159">
        <f t="shared" si="23"/>
        <v>0</v>
      </c>
      <c r="E79" s="159">
        <f t="shared" si="23"/>
        <v>0</v>
      </c>
      <c r="F79" s="159">
        <f t="shared" si="23"/>
        <v>0</v>
      </c>
      <c r="G79" s="159">
        <f t="shared" si="23"/>
        <v>0</v>
      </c>
      <c r="H79" s="159">
        <f t="shared" si="23"/>
        <v>0</v>
      </c>
      <c r="I79" s="159">
        <f t="shared" si="23"/>
        <v>0</v>
      </c>
      <c r="J79" s="159">
        <f t="shared" si="23"/>
        <v>0</v>
      </c>
      <c r="K79" s="159">
        <f t="shared" si="23"/>
        <v>0</v>
      </c>
      <c r="L79" s="159">
        <f t="shared" si="23"/>
        <v>0</v>
      </c>
      <c r="M79" s="159">
        <f t="shared" si="23"/>
        <v>0</v>
      </c>
      <c r="N79" s="159">
        <f t="shared" si="23"/>
        <v>0</v>
      </c>
    </row>
    <row r="80" spans="1:14">
      <c r="A80" s="77" t="s">
        <v>42</v>
      </c>
      <c r="B80" s="159">
        <f t="shared" ref="B80:N80" si="24">SUM(B9)</f>
        <v>0</v>
      </c>
      <c r="C80" s="159">
        <f t="shared" si="24"/>
        <v>0</v>
      </c>
      <c r="D80" s="159">
        <f t="shared" si="24"/>
        <v>0</v>
      </c>
      <c r="E80" s="159">
        <f t="shared" si="24"/>
        <v>0</v>
      </c>
      <c r="F80" s="159">
        <f t="shared" si="24"/>
        <v>0</v>
      </c>
      <c r="G80" s="159">
        <f t="shared" si="24"/>
        <v>0</v>
      </c>
      <c r="H80" s="159">
        <f t="shared" si="24"/>
        <v>0</v>
      </c>
      <c r="I80" s="159">
        <f t="shared" si="24"/>
        <v>0</v>
      </c>
      <c r="J80" s="159">
        <f t="shared" si="24"/>
        <v>0</v>
      </c>
      <c r="K80" s="159">
        <f t="shared" si="24"/>
        <v>0</v>
      </c>
      <c r="L80" s="159">
        <f t="shared" si="24"/>
        <v>0</v>
      </c>
      <c r="M80" s="159">
        <f t="shared" si="24"/>
        <v>0</v>
      </c>
      <c r="N80" s="160">
        <f t="shared" si="24"/>
        <v>0</v>
      </c>
    </row>
    <row r="81" spans="1:14">
      <c r="A81" s="77" t="s">
        <v>133</v>
      </c>
      <c r="B81" s="159">
        <f>SUM(B44+B51+B12+B25+B65)</f>
        <v>68433.209999999992</v>
      </c>
      <c r="C81" s="159">
        <f>SUM(C44+C51+C12+C25+C65)</f>
        <v>24879.03</v>
      </c>
      <c r="D81" s="159">
        <f>SUM(D44+D51+D12+D25+D65)</f>
        <v>22.56</v>
      </c>
      <c r="E81" s="159">
        <f>SUM(E44+E51+E12+E25+E65)</f>
        <v>3766.95</v>
      </c>
      <c r="F81" s="159">
        <f>SUM(F44+F51+F12+F25+F65)</f>
        <v>9289.1200000000008</v>
      </c>
      <c r="G81" s="159">
        <f>SUM(G44+G51+G12+G25+G65)</f>
        <v>34.07</v>
      </c>
      <c r="H81" s="159">
        <f>SUM(H44+H51+H12+H25+H65)</f>
        <v>2135</v>
      </c>
      <c r="I81" s="159">
        <f>SUM(I44+I51+I12+I25+I65)</f>
        <v>855</v>
      </c>
      <c r="J81" s="159">
        <f>SUM(J44+J51+J12+J25+J65)</f>
        <v>7601.35</v>
      </c>
      <c r="K81" s="159">
        <f>SUM(K44+K51+K12+K25+K65)</f>
        <v>23704.050000000003</v>
      </c>
      <c r="L81" s="159">
        <f>SUM(L44+L51+L12+L25+L65)</f>
        <v>1903.71</v>
      </c>
      <c r="M81" s="159">
        <f>SUM(M44+M51+M12+M25+M65)</f>
        <v>0</v>
      </c>
      <c r="N81" s="159">
        <f>SUM(N44+N51+N12+N25+N65)</f>
        <v>118920</v>
      </c>
    </row>
    <row r="82" spans="1:14">
      <c r="A82" s="77" t="s">
        <v>87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>
      <c r="A83" s="77" t="s">
        <v>40</v>
      </c>
      <c r="B83" s="159">
        <f>SUM(B17+B35)</f>
        <v>0</v>
      </c>
      <c r="C83" s="159">
        <f t="shared" ref="C83:N83" si="25">SUM(C17+C35)</f>
        <v>0</v>
      </c>
      <c r="D83" s="159">
        <f t="shared" si="25"/>
        <v>0</v>
      </c>
      <c r="E83" s="159">
        <f t="shared" si="25"/>
        <v>0</v>
      </c>
      <c r="F83" s="159">
        <f t="shared" si="25"/>
        <v>0</v>
      </c>
      <c r="G83" s="159">
        <f t="shared" si="25"/>
        <v>0</v>
      </c>
      <c r="H83" s="159">
        <f t="shared" si="25"/>
        <v>0</v>
      </c>
      <c r="I83" s="159">
        <f t="shared" si="25"/>
        <v>0</v>
      </c>
      <c r="J83" s="159">
        <f t="shared" si="25"/>
        <v>0</v>
      </c>
      <c r="K83" s="159">
        <f t="shared" si="25"/>
        <v>0</v>
      </c>
      <c r="L83" s="159">
        <f t="shared" si="25"/>
        <v>2426.2800000000002</v>
      </c>
      <c r="M83" s="159">
        <f t="shared" si="25"/>
        <v>0</v>
      </c>
      <c r="N83" s="159">
        <f t="shared" si="25"/>
        <v>2426.2800000000002</v>
      </c>
    </row>
    <row r="84" spans="1:14">
      <c r="A84" s="112" t="s">
        <v>73</v>
      </c>
      <c r="B84" s="159">
        <f t="shared" ref="B84:N84" si="26">SUM(B13+B30)</f>
        <v>0</v>
      </c>
      <c r="C84" s="159">
        <f t="shared" si="26"/>
        <v>0</v>
      </c>
      <c r="D84" s="159">
        <f t="shared" si="26"/>
        <v>0</v>
      </c>
      <c r="E84" s="159">
        <f t="shared" si="26"/>
        <v>0</v>
      </c>
      <c r="F84" s="159">
        <f t="shared" si="26"/>
        <v>0</v>
      </c>
      <c r="G84" s="159">
        <f t="shared" si="26"/>
        <v>0</v>
      </c>
      <c r="H84" s="159">
        <f t="shared" si="26"/>
        <v>0</v>
      </c>
      <c r="I84" s="159">
        <f t="shared" si="26"/>
        <v>0</v>
      </c>
      <c r="J84" s="159">
        <f t="shared" si="26"/>
        <v>0</v>
      </c>
      <c r="K84" s="159">
        <f t="shared" si="26"/>
        <v>0</v>
      </c>
      <c r="L84" s="159">
        <f t="shared" si="26"/>
        <v>0</v>
      </c>
      <c r="M84" s="159">
        <f t="shared" si="26"/>
        <v>0</v>
      </c>
      <c r="N84" s="159">
        <f t="shared" si="26"/>
        <v>0</v>
      </c>
    </row>
    <row r="85" spans="1:14">
      <c r="A85" s="112" t="s">
        <v>39</v>
      </c>
      <c r="B85" s="159">
        <f>SUM(B16+B29)</f>
        <v>0</v>
      </c>
      <c r="C85" s="159">
        <f t="shared" ref="C85:N85" si="27">SUM(C16+C29)</f>
        <v>0</v>
      </c>
      <c r="D85" s="159">
        <f t="shared" si="27"/>
        <v>0</v>
      </c>
      <c r="E85" s="159">
        <f t="shared" si="27"/>
        <v>0</v>
      </c>
      <c r="F85" s="159">
        <f t="shared" si="27"/>
        <v>0</v>
      </c>
      <c r="G85" s="159">
        <f t="shared" si="27"/>
        <v>0</v>
      </c>
      <c r="H85" s="159">
        <f t="shared" si="27"/>
        <v>0</v>
      </c>
      <c r="I85" s="159">
        <f t="shared" si="27"/>
        <v>0</v>
      </c>
      <c r="J85" s="159">
        <f t="shared" si="27"/>
        <v>0</v>
      </c>
      <c r="K85" s="159">
        <f t="shared" si="27"/>
        <v>0</v>
      </c>
      <c r="L85" s="159">
        <f t="shared" si="27"/>
        <v>0</v>
      </c>
      <c r="M85" s="159">
        <f t="shared" si="27"/>
        <v>0</v>
      </c>
      <c r="N85" s="159">
        <f t="shared" si="27"/>
        <v>0</v>
      </c>
    </row>
    <row r="86" spans="1:14">
      <c r="A86" s="112" t="s">
        <v>75</v>
      </c>
      <c r="B86" s="159">
        <f>SUM(B31)</f>
        <v>0</v>
      </c>
      <c r="C86" s="159">
        <f t="shared" ref="C86:N86" si="28">SUM(C31)</f>
        <v>0</v>
      </c>
      <c r="D86" s="159">
        <f t="shared" si="28"/>
        <v>0</v>
      </c>
      <c r="E86" s="159">
        <f t="shared" si="28"/>
        <v>0</v>
      </c>
      <c r="F86" s="159">
        <f t="shared" si="28"/>
        <v>0</v>
      </c>
      <c r="G86" s="159">
        <f t="shared" si="28"/>
        <v>0</v>
      </c>
      <c r="H86" s="159">
        <f t="shared" si="28"/>
        <v>0</v>
      </c>
      <c r="I86" s="159">
        <f t="shared" si="28"/>
        <v>0</v>
      </c>
      <c r="J86" s="159">
        <f t="shared" si="28"/>
        <v>0</v>
      </c>
      <c r="K86" s="159">
        <f t="shared" si="28"/>
        <v>0</v>
      </c>
      <c r="L86" s="159">
        <f t="shared" si="28"/>
        <v>0</v>
      </c>
      <c r="M86" s="159">
        <f t="shared" si="28"/>
        <v>0</v>
      </c>
      <c r="N86" s="159">
        <f t="shared" si="28"/>
        <v>0</v>
      </c>
    </row>
    <row r="87" spans="1:14">
      <c r="A87" s="112" t="s">
        <v>41</v>
      </c>
      <c r="B87" s="159">
        <f>SUM(B32+B15)</f>
        <v>0</v>
      </c>
      <c r="C87" s="159">
        <f t="shared" ref="C87:N87" si="29">SUM(C32+C15)</f>
        <v>0</v>
      </c>
      <c r="D87" s="159">
        <f t="shared" si="29"/>
        <v>0</v>
      </c>
      <c r="E87" s="159">
        <f t="shared" si="29"/>
        <v>0</v>
      </c>
      <c r="F87" s="159">
        <f t="shared" si="29"/>
        <v>0</v>
      </c>
      <c r="G87" s="159">
        <f t="shared" si="29"/>
        <v>0</v>
      </c>
      <c r="H87" s="159">
        <f t="shared" si="29"/>
        <v>0</v>
      </c>
      <c r="I87" s="159">
        <f t="shared" si="29"/>
        <v>0</v>
      </c>
      <c r="J87" s="159">
        <f t="shared" si="29"/>
        <v>0</v>
      </c>
      <c r="K87" s="159">
        <f t="shared" si="29"/>
        <v>0</v>
      </c>
      <c r="L87" s="159">
        <f t="shared" si="29"/>
        <v>0</v>
      </c>
      <c r="M87" s="159">
        <f t="shared" si="29"/>
        <v>0</v>
      </c>
      <c r="N87" s="159">
        <f t="shared" si="29"/>
        <v>0</v>
      </c>
    </row>
    <row r="88" spans="1:14">
      <c r="A88" s="112" t="s">
        <v>44</v>
      </c>
      <c r="B88" s="159">
        <f>SUM(B14+B34)</f>
        <v>0</v>
      </c>
      <c r="C88" s="159">
        <f t="shared" ref="C88:N88" si="30">SUM(C14+C34)</f>
        <v>0</v>
      </c>
      <c r="D88" s="159">
        <f t="shared" si="30"/>
        <v>0</v>
      </c>
      <c r="E88" s="159">
        <f t="shared" si="30"/>
        <v>0</v>
      </c>
      <c r="F88" s="159">
        <f t="shared" si="30"/>
        <v>0</v>
      </c>
      <c r="G88" s="159">
        <f t="shared" si="30"/>
        <v>0</v>
      </c>
      <c r="H88" s="159">
        <f t="shared" si="30"/>
        <v>0</v>
      </c>
      <c r="I88" s="159">
        <f t="shared" si="30"/>
        <v>0</v>
      </c>
      <c r="J88" s="159">
        <f t="shared" si="30"/>
        <v>0</v>
      </c>
      <c r="K88" s="159">
        <f t="shared" si="30"/>
        <v>0</v>
      </c>
      <c r="L88" s="159">
        <f t="shared" si="30"/>
        <v>0</v>
      </c>
      <c r="M88" s="159">
        <f t="shared" si="30"/>
        <v>0</v>
      </c>
      <c r="N88" s="159">
        <f t="shared" si="30"/>
        <v>0</v>
      </c>
    </row>
    <row r="89" spans="1:14">
      <c r="A89" s="77" t="s">
        <v>88</v>
      </c>
      <c r="B89" s="159">
        <f>SUM(B11,B47,B28,B54+B66)</f>
        <v>46.6</v>
      </c>
      <c r="C89" s="159">
        <f t="shared" ref="C89:N89" si="31">SUM(C11,C47,C28,C54+C66)</f>
        <v>0</v>
      </c>
      <c r="D89" s="159">
        <f t="shared" si="31"/>
        <v>0</v>
      </c>
      <c r="E89" s="159">
        <f t="shared" si="31"/>
        <v>1574.51</v>
      </c>
      <c r="F89" s="159">
        <f t="shared" si="31"/>
        <v>4724</v>
      </c>
      <c r="G89" s="159">
        <f t="shared" si="31"/>
        <v>0</v>
      </c>
      <c r="H89" s="159">
        <f t="shared" si="31"/>
        <v>1020</v>
      </c>
      <c r="I89" s="159">
        <f t="shared" si="31"/>
        <v>0</v>
      </c>
      <c r="J89" s="159">
        <f t="shared" si="31"/>
        <v>0</v>
      </c>
      <c r="K89" s="159">
        <f t="shared" si="31"/>
        <v>7318.51</v>
      </c>
      <c r="L89" s="159">
        <f t="shared" si="31"/>
        <v>1514</v>
      </c>
      <c r="M89" s="159">
        <f t="shared" si="31"/>
        <v>0</v>
      </c>
      <c r="N89" s="159">
        <f t="shared" si="31"/>
        <v>8879.11</v>
      </c>
    </row>
    <row r="90" spans="1:14">
      <c r="A90" s="182" t="s">
        <v>106</v>
      </c>
      <c r="B90" s="202">
        <f>SUM(B36+B18)</f>
        <v>0</v>
      </c>
      <c r="C90" s="202">
        <f t="shared" ref="C90:N90" si="32">SUM(C36+C18)</f>
        <v>0</v>
      </c>
      <c r="D90" s="202">
        <f t="shared" si="32"/>
        <v>0</v>
      </c>
      <c r="E90" s="202">
        <f t="shared" si="32"/>
        <v>0</v>
      </c>
      <c r="F90" s="202">
        <f t="shared" si="32"/>
        <v>0</v>
      </c>
      <c r="G90" s="202">
        <f t="shared" si="32"/>
        <v>0</v>
      </c>
      <c r="H90" s="202">
        <f t="shared" si="32"/>
        <v>0</v>
      </c>
      <c r="I90" s="202">
        <f t="shared" si="32"/>
        <v>0</v>
      </c>
      <c r="J90" s="202">
        <f t="shared" si="32"/>
        <v>0</v>
      </c>
      <c r="K90" s="202">
        <f t="shared" si="32"/>
        <v>0</v>
      </c>
      <c r="L90" s="202">
        <f t="shared" si="32"/>
        <v>0</v>
      </c>
      <c r="M90" s="202">
        <f>SUM(M36+M18)</f>
        <v>0</v>
      </c>
      <c r="N90" s="202">
        <f t="shared" si="32"/>
        <v>0</v>
      </c>
    </row>
    <row r="91" spans="1:14">
      <c r="A91" s="182" t="s">
        <v>124</v>
      </c>
      <c r="B91" s="202">
        <f>SUM(B56)</f>
        <v>494</v>
      </c>
      <c r="C91" s="202">
        <f t="shared" ref="C91:N91" si="33">SUM(C56)</f>
        <v>172.65</v>
      </c>
      <c r="D91" s="202">
        <f t="shared" si="33"/>
        <v>0</v>
      </c>
      <c r="E91" s="202">
        <f t="shared" si="33"/>
        <v>0</v>
      </c>
      <c r="F91" s="202">
        <f t="shared" si="33"/>
        <v>52.7</v>
      </c>
      <c r="G91" s="202">
        <f t="shared" si="33"/>
        <v>0</v>
      </c>
      <c r="H91" s="202">
        <f t="shared" si="33"/>
        <v>0</v>
      </c>
      <c r="I91" s="202">
        <f t="shared" si="33"/>
        <v>0</v>
      </c>
      <c r="J91" s="202">
        <f t="shared" si="33"/>
        <v>0</v>
      </c>
      <c r="K91" s="202">
        <f t="shared" si="33"/>
        <v>52.7</v>
      </c>
      <c r="L91" s="202">
        <f t="shared" si="33"/>
        <v>0</v>
      </c>
      <c r="M91" s="202">
        <f t="shared" si="33"/>
        <v>0</v>
      </c>
      <c r="N91" s="202">
        <f t="shared" si="33"/>
        <v>719.35</v>
      </c>
    </row>
    <row r="92" spans="1:14">
      <c r="A92" s="182" t="s">
        <v>134</v>
      </c>
      <c r="B92" s="202">
        <f>SUM(B55)</f>
        <v>0</v>
      </c>
      <c r="C92" s="202">
        <f t="shared" ref="C92:N92" si="34">SUM(C55)</f>
        <v>0</v>
      </c>
      <c r="D92" s="202">
        <f t="shared" si="34"/>
        <v>0</v>
      </c>
      <c r="E92" s="202">
        <f t="shared" si="34"/>
        <v>0</v>
      </c>
      <c r="F92" s="202">
        <f t="shared" si="34"/>
        <v>189.2</v>
      </c>
      <c r="G92" s="202">
        <f t="shared" si="34"/>
        <v>0</v>
      </c>
      <c r="H92" s="202">
        <f t="shared" si="34"/>
        <v>0</v>
      </c>
      <c r="I92" s="202">
        <f t="shared" si="34"/>
        <v>0</v>
      </c>
      <c r="J92" s="202">
        <f t="shared" si="34"/>
        <v>0</v>
      </c>
      <c r="K92" s="202">
        <f t="shared" si="34"/>
        <v>189.2</v>
      </c>
      <c r="L92" s="202">
        <f t="shared" si="34"/>
        <v>0</v>
      </c>
      <c r="M92" s="202">
        <f t="shared" si="34"/>
        <v>0</v>
      </c>
      <c r="N92" s="202">
        <f t="shared" si="34"/>
        <v>189.2</v>
      </c>
    </row>
    <row r="93" spans="1:14" ht="15.75" thickBot="1">
      <c r="A93" s="82" t="s">
        <v>54</v>
      </c>
      <c r="B93" s="139">
        <f t="shared" ref="B93:N93" si="35">SUM(B10,B27,B45,)</f>
        <v>1395</v>
      </c>
      <c r="C93" s="139">
        <f t="shared" si="35"/>
        <v>488</v>
      </c>
      <c r="D93" s="139">
        <f t="shared" si="35"/>
        <v>0</v>
      </c>
      <c r="E93" s="139">
        <f t="shared" si="35"/>
        <v>0</v>
      </c>
      <c r="F93" s="139">
        <f t="shared" si="35"/>
        <v>0</v>
      </c>
      <c r="G93" s="139">
        <f t="shared" si="35"/>
        <v>0</v>
      </c>
      <c r="H93" s="139">
        <f t="shared" si="35"/>
        <v>0</v>
      </c>
      <c r="I93" s="139">
        <f t="shared" si="35"/>
        <v>0</v>
      </c>
      <c r="J93" s="139">
        <f t="shared" si="35"/>
        <v>0</v>
      </c>
      <c r="K93" s="139">
        <f t="shared" si="35"/>
        <v>0</v>
      </c>
      <c r="L93" s="139">
        <f t="shared" si="35"/>
        <v>0</v>
      </c>
      <c r="M93" s="139">
        <f t="shared" si="35"/>
        <v>0</v>
      </c>
      <c r="N93" s="139">
        <f t="shared" si="35"/>
        <v>1883</v>
      </c>
    </row>
    <row r="94" spans="1:14" ht="15.75" thickBot="1">
      <c r="A94" s="65"/>
      <c r="B94" s="161"/>
      <c r="C94" s="162"/>
      <c r="D94" s="163"/>
      <c r="E94" s="68"/>
      <c r="F94" s="68"/>
      <c r="G94" s="68"/>
      <c r="H94" s="68"/>
      <c r="I94" s="68"/>
      <c r="J94" s="68"/>
      <c r="K94" s="68"/>
      <c r="L94" s="68"/>
      <c r="M94" s="68"/>
      <c r="N94" s="164">
        <f>SUM(N77:N93)</f>
        <v>298057.17</v>
      </c>
    </row>
    <row r="95" spans="1:14">
      <c r="A95" s="248" t="s">
        <v>108</v>
      </c>
      <c r="B95" s="249" t="s">
        <v>89</v>
      </c>
      <c r="C95" s="250" t="s">
        <v>90</v>
      </c>
      <c r="D95" s="250" t="s">
        <v>91</v>
      </c>
      <c r="E95" s="250" t="s">
        <v>30</v>
      </c>
      <c r="G95" s="1" t="s">
        <v>132</v>
      </c>
      <c r="H95" s="280"/>
      <c r="I95" s="178" t="s">
        <v>90</v>
      </c>
      <c r="J95" s="281"/>
      <c r="K95" s="282" t="s">
        <v>30</v>
      </c>
    </row>
    <row r="96" spans="1:14">
      <c r="A96" s="246" t="s">
        <v>85</v>
      </c>
      <c r="B96" s="251">
        <v>152029</v>
      </c>
      <c r="C96" s="166">
        <f>SUM(N77)</f>
        <v>150238.22999999998</v>
      </c>
      <c r="D96" s="166">
        <f t="shared" ref="D96:D113" si="36">SUM(B96-C96)</f>
        <v>1790.7700000000186</v>
      </c>
      <c r="E96" s="210">
        <f>SUM(N39)</f>
        <v>152029</v>
      </c>
      <c r="F96" s="165"/>
      <c r="G96" s="283"/>
      <c r="H96" s="284">
        <v>0</v>
      </c>
      <c r="I96" s="233">
        <f>SUM(T69)</f>
        <v>0</v>
      </c>
      <c r="J96" s="166"/>
      <c r="K96" s="210">
        <f>SUM(T46)</f>
        <v>0</v>
      </c>
      <c r="L96" s="165"/>
      <c r="M96" s="165"/>
      <c r="N96" s="165"/>
    </row>
    <row r="97" spans="1:14">
      <c r="A97" s="246" t="s">
        <v>109</v>
      </c>
      <c r="B97" s="252">
        <v>0</v>
      </c>
      <c r="C97" s="166">
        <f>SUM(N13+N30)</f>
        <v>0</v>
      </c>
      <c r="D97" s="166">
        <f t="shared" si="36"/>
        <v>0</v>
      </c>
      <c r="E97" s="210">
        <v>0</v>
      </c>
      <c r="F97" s="165"/>
      <c r="G97" s="283" t="s">
        <v>131</v>
      </c>
      <c r="H97" s="284"/>
      <c r="I97" s="233">
        <v>11166.4</v>
      </c>
      <c r="J97" s="166"/>
      <c r="K97" s="210">
        <v>11166.4</v>
      </c>
    </row>
    <row r="98" spans="1:14">
      <c r="A98" s="246" t="s">
        <v>86</v>
      </c>
      <c r="B98" s="247">
        <v>118920</v>
      </c>
      <c r="C98" s="166">
        <f>SUM(N81)</f>
        <v>118920</v>
      </c>
      <c r="D98" s="166">
        <f t="shared" si="36"/>
        <v>0</v>
      </c>
      <c r="E98" s="210">
        <v>121520</v>
      </c>
      <c r="F98" s="165"/>
      <c r="G98" s="283" t="s">
        <v>110</v>
      </c>
      <c r="H98" s="284"/>
      <c r="I98" s="233">
        <v>1973.77</v>
      </c>
      <c r="J98" s="166"/>
      <c r="K98" s="210">
        <v>7400</v>
      </c>
      <c r="L98" s="206"/>
      <c r="M98" s="206"/>
      <c r="N98" s="65"/>
    </row>
    <row r="99" spans="1:14">
      <c r="A99" s="246"/>
      <c r="B99" s="247"/>
      <c r="C99" s="166">
        <f>SUM(N82)</f>
        <v>0</v>
      </c>
      <c r="D99" s="166">
        <f t="shared" si="36"/>
        <v>0</v>
      </c>
      <c r="E99" s="210"/>
      <c r="F99" s="167">
        <f>SUM(E98:E99)</f>
        <v>121520</v>
      </c>
      <c r="G99" s="283" t="s">
        <v>126</v>
      </c>
      <c r="H99" s="284">
        <v>0</v>
      </c>
      <c r="I99" s="233">
        <v>60.79</v>
      </c>
      <c r="J99" s="166"/>
      <c r="K99" s="210">
        <v>100</v>
      </c>
      <c r="L99" s="207"/>
      <c r="M99" s="207"/>
      <c r="N99" s="65"/>
    </row>
    <row r="100" spans="1:14">
      <c r="A100" s="246" t="s">
        <v>92</v>
      </c>
      <c r="B100" s="247"/>
      <c r="C100" s="166"/>
      <c r="D100" s="166">
        <f t="shared" si="36"/>
        <v>0</v>
      </c>
      <c r="E100" s="210"/>
      <c r="F100" s="168"/>
      <c r="G100" s="283" t="s">
        <v>128</v>
      </c>
      <c r="H100" s="284">
        <v>0</v>
      </c>
      <c r="I100" s="233">
        <v>2931.76</v>
      </c>
      <c r="J100" s="166"/>
      <c r="K100" s="210">
        <v>2932</v>
      </c>
      <c r="L100" s="207"/>
      <c r="M100" s="207"/>
      <c r="N100" s="208"/>
    </row>
    <row r="101" spans="1:14">
      <c r="A101" s="246" t="s">
        <v>88</v>
      </c>
      <c r="B101" s="253">
        <v>8879.11</v>
      </c>
      <c r="C101" s="166">
        <f>SUM(N89)</f>
        <v>8879.11</v>
      </c>
      <c r="D101" s="166">
        <f t="shared" si="36"/>
        <v>0</v>
      </c>
      <c r="E101" s="210">
        <v>8556</v>
      </c>
      <c r="F101" s="169"/>
      <c r="G101" s="283" t="s">
        <v>129</v>
      </c>
      <c r="H101" s="284">
        <v>0</v>
      </c>
      <c r="I101" s="233">
        <v>2996</v>
      </c>
      <c r="J101" s="166"/>
      <c r="K101" s="210">
        <v>2996</v>
      </c>
      <c r="L101" s="207"/>
      <c r="M101" s="209"/>
    </row>
    <row r="102" spans="1:14">
      <c r="A102" s="246" t="s">
        <v>69</v>
      </c>
      <c r="B102" s="247">
        <v>14802</v>
      </c>
      <c r="C102" s="166">
        <f>SUM(N78)</f>
        <v>14802</v>
      </c>
      <c r="D102" s="166">
        <f t="shared" si="36"/>
        <v>0</v>
      </c>
      <c r="E102" s="210">
        <v>14802</v>
      </c>
      <c r="F102" s="39"/>
      <c r="G102" s="283"/>
      <c r="H102" s="284">
        <v>0</v>
      </c>
      <c r="I102" s="233">
        <f t="shared" ref="I100:I108" si="37">SUM(T76)</f>
        <v>0</v>
      </c>
      <c r="J102" s="166">
        <f t="shared" ref="J100:J108" si="38">SUM(H102-I102)</f>
        <v>0</v>
      </c>
      <c r="K102" s="210">
        <f>SUM(T52)</f>
        <v>0</v>
      </c>
      <c r="L102" s="207"/>
      <c r="M102" s="209"/>
    </row>
    <row r="103" spans="1:14">
      <c r="A103" s="246" t="s">
        <v>70</v>
      </c>
      <c r="B103" s="247"/>
      <c r="C103" s="166">
        <f>SUM(N79)</f>
        <v>0</v>
      </c>
      <c r="D103" s="166">
        <f t="shared" si="36"/>
        <v>0</v>
      </c>
      <c r="E103" s="210"/>
      <c r="F103" s="39"/>
      <c r="G103" s="283"/>
      <c r="H103" s="284">
        <v>0</v>
      </c>
      <c r="I103" s="233">
        <f t="shared" si="37"/>
        <v>0</v>
      </c>
      <c r="J103" s="166">
        <f t="shared" si="38"/>
        <v>0</v>
      </c>
      <c r="K103" s="210">
        <f>SUM(T53)</f>
        <v>0</v>
      </c>
      <c r="L103" s="207"/>
      <c r="M103" s="209"/>
    </row>
    <row r="104" spans="1:14">
      <c r="A104" s="246" t="s">
        <v>54</v>
      </c>
      <c r="B104" s="247">
        <v>1883</v>
      </c>
      <c r="C104" s="166">
        <f>SUM(N93)</f>
        <v>1883</v>
      </c>
      <c r="D104" s="166">
        <f t="shared" si="36"/>
        <v>0</v>
      </c>
      <c r="E104" s="210">
        <v>1883</v>
      </c>
      <c r="F104" s="170"/>
      <c r="G104" s="285"/>
      <c r="H104" s="284">
        <v>0</v>
      </c>
      <c r="I104" s="233">
        <f t="shared" si="37"/>
        <v>0</v>
      </c>
      <c r="J104" s="166">
        <f t="shared" si="38"/>
        <v>0</v>
      </c>
      <c r="K104" s="210">
        <f>SUM(T54)</f>
        <v>0</v>
      </c>
      <c r="L104" s="170"/>
      <c r="M104" s="209"/>
    </row>
    <row r="105" spans="1:14">
      <c r="A105" s="246" t="s">
        <v>93</v>
      </c>
      <c r="B105" s="247">
        <v>2426.2800000000002</v>
      </c>
      <c r="C105" s="210">
        <f>SUM(N83)</f>
        <v>2426.2800000000002</v>
      </c>
      <c r="D105" s="166">
        <f t="shared" si="36"/>
        <v>0</v>
      </c>
      <c r="E105" s="210">
        <v>2275</v>
      </c>
      <c r="G105" s="285"/>
      <c r="H105" s="284">
        <v>0</v>
      </c>
      <c r="I105" s="233">
        <f t="shared" si="37"/>
        <v>0</v>
      </c>
      <c r="J105" s="166">
        <f t="shared" si="38"/>
        <v>0</v>
      </c>
      <c r="K105" s="210">
        <f t="shared" ref="K105:K108" si="39">SUM(T57)</f>
        <v>0</v>
      </c>
      <c r="L105" s="170"/>
      <c r="M105" s="209"/>
    </row>
    <row r="106" spans="1:14">
      <c r="A106" s="246" t="s">
        <v>44</v>
      </c>
      <c r="B106" s="253">
        <v>0</v>
      </c>
      <c r="C106" s="210">
        <f>SUM(N88)</f>
        <v>0</v>
      </c>
      <c r="D106" s="166">
        <f t="shared" si="36"/>
        <v>0</v>
      </c>
      <c r="E106" s="210"/>
      <c r="F106" s="39"/>
      <c r="G106" s="285"/>
      <c r="H106" s="284">
        <v>0</v>
      </c>
      <c r="I106" s="233">
        <f t="shared" si="37"/>
        <v>0</v>
      </c>
      <c r="J106" s="166">
        <f t="shared" si="38"/>
        <v>0</v>
      </c>
      <c r="K106" s="210">
        <f t="shared" si="39"/>
        <v>0</v>
      </c>
      <c r="L106" s="170"/>
      <c r="M106" s="209"/>
    </row>
    <row r="107" spans="1:14">
      <c r="A107" s="254" t="s">
        <v>39</v>
      </c>
      <c r="B107" s="247">
        <v>0</v>
      </c>
      <c r="C107" s="210">
        <f>SUM(N85)</f>
        <v>0</v>
      </c>
      <c r="D107" s="166">
        <f t="shared" si="36"/>
        <v>0</v>
      </c>
      <c r="E107" s="210">
        <v>0</v>
      </c>
      <c r="G107" s="283"/>
      <c r="H107" s="284">
        <v>0</v>
      </c>
      <c r="I107" s="233">
        <f t="shared" si="37"/>
        <v>0</v>
      </c>
      <c r="J107" s="166">
        <f t="shared" si="38"/>
        <v>0</v>
      </c>
      <c r="K107" s="210">
        <f t="shared" si="39"/>
        <v>0</v>
      </c>
      <c r="L107" s="170"/>
      <c r="M107" s="209"/>
    </row>
    <row r="108" spans="1:14">
      <c r="A108" s="246" t="s">
        <v>94</v>
      </c>
      <c r="B108" s="247"/>
      <c r="C108" s="166"/>
      <c r="D108" s="166">
        <f t="shared" si="36"/>
        <v>0</v>
      </c>
      <c r="E108" s="210"/>
      <c r="G108" s="283"/>
      <c r="H108" s="284">
        <v>0</v>
      </c>
      <c r="I108" s="233">
        <f t="shared" si="37"/>
        <v>0</v>
      </c>
      <c r="J108" s="166">
        <f t="shared" si="38"/>
        <v>0</v>
      </c>
      <c r="K108" s="210">
        <f t="shared" si="39"/>
        <v>0</v>
      </c>
      <c r="L108" s="170"/>
      <c r="M108" s="209"/>
    </row>
    <row r="109" spans="1:14">
      <c r="A109" s="246" t="s">
        <v>106</v>
      </c>
      <c r="B109" s="247">
        <v>0</v>
      </c>
      <c r="C109" s="166">
        <f>SUM(N18+N36)</f>
        <v>0</v>
      </c>
      <c r="D109" s="166">
        <f t="shared" si="36"/>
        <v>0</v>
      </c>
      <c r="E109" s="210"/>
      <c r="G109" s="283"/>
      <c r="H109" s="284">
        <v>0</v>
      </c>
      <c r="I109" s="233">
        <f>SUM(T87)</f>
        <v>0</v>
      </c>
      <c r="J109" s="166">
        <f>SUM(H109-I109)</f>
        <v>0</v>
      </c>
      <c r="K109" s="210">
        <f>SUM(T65)</f>
        <v>0</v>
      </c>
      <c r="L109" s="170"/>
      <c r="M109" s="209"/>
    </row>
    <row r="110" spans="1:14">
      <c r="A110" s="246" t="s">
        <v>75</v>
      </c>
      <c r="B110" s="247">
        <v>0</v>
      </c>
      <c r="C110" s="166">
        <f>SUM(N86)</f>
        <v>0</v>
      </c>
      <c r="D110" s="166">
        <f t="shared" si="36"/>
        <v>0</v>
      </c>
      <c r="E110" s="210">
        <v>0</v>
      </c>
      <c r="F110" s="39"/>
      <c r="G110" s="283"/>
      <c r="H110" s="284">
        <v>0</v>
      </c>
      <c r="I110" s="233">
        <f>SUM(T90)</f>
        <v>0</v>
      </c>
      <c r="J110" s="166">
        <f>SUM(H110-I110)</f>
        <v>0</v>
      </c>
      <c r="K110" s="210">
        <f>SUM(T66)</f>
        <v>0</v>
      </c>
      <c r="L110" s="170"/>
      <c r="M110" s="209"/>
    </row>
    <row r="111" spans="1:14">
      <c r="A111" s="246" t="s">
        <v>41</v>
      </c>
      <c r="B111" s="247">
        <v>0</v>
      </c>
      <c r="C111" s="166">
        <f>SUM(N87)</f>
        <v>0</v>
      </c>
      <c r="D111" s="166">
        <f t="shared" si="36"/>
        <v>0</v>
      </c>
      <c r="E111" s="210">
        <v>0</v>
      </c>
      <c r="G111" s="283"/>
      <c r="H111" s="284"/>
      <c r="I111" s="233"/>
      <c r="J111" s="166"/>
      <c r="K111" s="210"/>
      <c r="L111" s="170"/>
      <c r="M111" s="209"/>
    </row>
    <row r="112" spans="1:14">
      <c r="A112" s="246" t="s">
        <v>127</v>
      </c>
      <c r="B112" s="247">
        <v>719.35</v>
      </c>
      <c r="C112" s="166">
        <f>SUM(N91)</f>
        <v>719.35</v>
      </c>
      <c r="D112" s="166">
        <f t="shared" si="36"/>
        <v>0</v>
      </c>
      <c r="E112" s="210">
        <v>719.35</v>
      </c>
      <c r="G112" s="283"/>
      <c r="H112" s="284"/>
      <c r="I112" s="233"/>
      <c r="J112" s="166"/>
      <c r="K112" s="210"/>
      <c r="L112" s="170"/>
      <c r="M112" s="209"/>
    </row>
    <row r="113" spans="1:14" ht="15.75" thickBot="1">
      <c r="A113" s="255" t="s">
        <v>111</v>
      </c>
      <c r="B113" s="256"/>
      <c r="C113" s="183">
        <v>0</v>
      </c>
      <c r="D113" s="183">
        <f t="shared" si="36"/>
        <v>0</v>
      </c>
      <c r="E113" s="236">
        <v>0</v>
      </c>
      <c r="G113" s="286"/>
      <c r="H113" s="218"/>
      <c r="I113" s="219"/>
      <c r="J113" s="183"/>
      <c r="K113" s="236"/>
      <c r="L113" s="170"/>
    </row>
    <row r="114" spans="1:14" ht="15.75" thickBot="1">
      <c r="A114" s="260" t="s">
        <v>95</v>
      </c>
      <c r="B114" s="242">
        <f>SUM(B96:B113)</f>
        <v>299658.74</v>
      </c>
      <c r="C114" s="242">
        <f t="shared" ref="C114:E114" si="40">SUM(C96:C113)</f>
        <v>297867.96999999997</v>
      </c>
      <c r="D114" s="242">
        <f t="shared" si="40"/>
        <v>1790.7700000000186</v>
      </c>
      <c r="E114" s="261">
        <f t="shared" si="40"/>
        <v>301784.34999999998</v>
      </c>
      <c r="F114" s="39"/>
      <c r="G114" s="211" t="s">
        <v>95</v>
      </c>
      <c r="H114" s="212">
        <f>SUM(H96:H110)</f>
        <v>0</v>
      </c>
      <c r="I114" s="212">
        <f>SUM(I96:I110)</f>
        <v>19128.72</v>
      </c>
      <c r="J114" s="151">
        <f>SUM(J96:J110)</f>
        <v>0</v>
      </c>
      <c r="K114" s="289">
        <f>SUM(K96:K110)</f>
        <v>24594.400000000001</v>
      </c>
      <c r="L114" s="206"/>
      <c r="M114" s="213" t="s">
        <v>112</v>
      </c>
      <c r="N114" s="213"/>
    </row>
    <row r="115" spans="1:14">
      <c r="A115" s="257" t="s">
        <v>113</v>
      </c>
      <c r="B115" s="258">
        <v>189.2</v>
      </c>
      <c r="C115" s="205">
        <v>189.2</v>
      </c>
      <c r="D115" s="205">
        <v>0</v>
      </c>
      <c r="E115" s="259">
        <v>189.2</v>
      </c>
      <c r="F115" s="39"/>
      <c r="G115" s="287"/>
      <c r="H115" s="215"/>
      <c r="I115" s="216"/>
      <c r="J115" s="288"/>
      <c r="K115" s="259"/>
      <c r="L115" s="170"/>
      <c r="M115" s="217">
        <f>SUM(C117+I117)</f>
        <v>317185.89</v>
      </c>
      <c r="N115" s="217">
        <f>SUM(E117+K117)</f>
        <v>326567.95</v>
      </c>
    </row>
    <row r="116" spans="1:14" ht="15.75" thickBot="1">
      <c r="A116" s="262" t="s">
        <v>114</v>
      </c>
      <c r="B116" s="263">
        <v>0</v>
      </c>
      <c r="C116" s="236">
        <v>0</v>
      </c>
      <c r="D116" s="236">
        <f>SUM(B116-C116)</f>
        <v>0</v>
      </c>
      <c r="E116" s="236">
        <v>0</v>
      </c>
      <c r="G116" s="290"/>
      <c r="H116" s="218"/>
      <c r="I116" s="219"/>
      <c r="J116" s="291"/>
      <c r="K116" s="236"/>
      <c r="L116" s="207"/>
      <c r="M116" s="39"/>
      <c r="N116" s="39"/>
    </row>
    <row r="117" spans="1:14" ht="15.75" thickBot="1">
      <c r="A117" s="264" t="s">
        <v>96</v>
      </c>
      <c r="B117" s="220">
        <f>SUM(B114:B116)</f>
        <v>299847.94</v>
      </c>
      <c r="C117" s="220">
        <f>SUM(C114:C116)</f>
        <v>298057.17</v>
      </c>
      <c r="D117" s="220">
        <f>SUM(D114:D116)</f>
        <v>1790.7700000000186</v>
      </c>
      <c r="E117" s="265">
        <f>SUM(E114:E116)</f>
        <v>301973.55</v>
      </c>
      <c r="G117" s="211" t="s">
        <v>96</v>
      </c>
      <c r="H117" s="221">
        <f>SUM(H114:H116)</f>
        <v>0</v>
      </c>
      <c r="I117" s="221">
        <f>SUM(I114:I116)</f>
        <v>19128.72</v>
      </c>
      <c r="J117" s="221">
        <f>SUM(J114:J116)</f>
        <v>0</v>
      </c>
      <c r="K117" s="292">
        <f>SUM(K114:K116)</f>
        <v>24594.400000000001</v>
      </c>
      <c r="L117" s="207"/>
    </row>
    <row r="118" spans="1:14">
      <c r="A118" s="171"/>
      <c r="B118" s="172">
        <f>SUM(B97+B101+B106+B116)</f>
        <v>8879.11</v>
      </c>
      <c r="C118" s="68"/>
      <c r="D118" s="222"/>
      <c r="E118" s="222"/>
      <c r="L118" s="207"/>
    </row>
    <row r="119" spans="1:14">
      <c r="B119" s="39"/>
      <c r="C119" s="173"/>
      <c r="D119" s="98"/>
      <c r="L119" s="170"/>
    </row>
    <row r="120" spans="1:14" ht="15.75" thickBot="1">
      <c r="A120" s="1" t="s">
        <v>46</v>
      </c>
      <c r="B120" s="3" t="s">
        <v>115</v>
      </c>
      <c r="C120" s="39"/>
      <c r="E120" s="97" t="s">
        <v>116</v>
      </c>
      <c r="G120" s="3" t="s">
        <v>132</v>
      </c>
      <c r="L120" s="170"/>
    </row>
    <row r="121" spans="1:14" ht="15.75" thickBot="1">
      <c r="A121" s="15" t="s">
        <v>97</v>
      </c>
      <c r="B121" s="223">
        <v>1320</v>
      </c>
      <c r="C121" s="203"/>
      <c r="D121" s="204"/>
      <c r="E121" s="224">
        <v>1260</v>
      </c>
      <c r="F121" s="39"/>
      <c r="G121" s="268" t="s">
        <v>46</v>
      </c>
      <c r="H121" s="269" t="s">
        <v>117</v>
      </c>
      <c r="I121" s="270"/>
      <c r="J121" s="271"/>
      <c r="K121" s="272" t="s">
        <v>30</v>
      </c>
      <c r="L121" s="170"/>
    </row>
    <row r="122" spans="1:14">
      <c r="A122" s="28" t="s">
        <v>118</v>
      </c>
      <c r="B122" s="225">
        <v>3224</v>
      </c>
      <c r="C122" s="205"/>
      <c r="D122" s="226"/>
      <c r="E122" s="227">
        <v>3300</v>
      </c>
      <c r="F122" s="39"/>
      <c r="G122" s="273" t="s">
        <v>119</v>
      </c>
      <c r="H122" s="216">
        <v>4731.55</v>
      </c>
      <c r="I122" s="216"/>
      <c r="J122" s="214"/>
      <c r="K122" s="228">
        <v>7500</v>
      </c>
      <c r="L122" s="170"/>
    </row>
    <row r="123" spans="1:14">
      <c r="A123" s="19" t="s">
        <v>98</v>
      </c>
      <c r="B123" s="229">
        <v>1574.51</v>
      </c>
      <c r="C123" s="166"/>
      <c r="D123" s="226"/>
      <c r="E123" s="230">
        <v>1276</v>
      </c>
      <c r="F123" s="39"/>
      <c r="G123" s="273" t="s">
        <v>120</v>
      </c>
      <c r="H123" s="216">
        <v>35.47</v>
      </c>
      <c r="I123" s="216"/>
      <c r="J123" s="214"/>
      <c r="K123" s="228">
        <v>0</v>
      </c>
      <c r="L123" s="231"/>
    </row>
    <row r="124" spans="1:14">
      <c r="A124" s="19" t="s">
        <v>44</v>
      </c>
      <c r="B124" s="232">
        <v>0</v>
      </c>
      <c r="C124" s="166"/>
      <c r="D124" s="226"/>
      <c r="E124" s="230"/>
      <c r="F124" s="39"/>
      <c r="G124" s="273" t="s">
        <v>45</v>
      </c>
      <c r="H124" s="216">
        <v>0</v>
      </c>
      <c r="I124" s="216"/>
      <c r="J124" s="214"/>
      <c r="K124" s="228"/>
      <c r="L124" s="231"/>
    </row>
    <row r="125" spans="1:14">
      <c r="A125" s="19" t="s">
        <v>99</v>
      </c>
      <c r="B125" s="229"/>
      <c r="C125" s="210"/>
      <c r="D125" s="226"/>
      <c r="E125" s="230"/>
      <c r="F125" s="39"/>
      <c r="G125" s="273" t="s">
        <v>128</v>
      </c>
      <c r="H125" s="216">
        <v>2438</v>
      </c>
      <c r="I125" s="216"/>
      <c r="J125" s="214"/>
      <c r="K125" s="214"/>
      <c r="L125" s="231"/>
    </row>
    <row r="126" spans="1:14">
      <c r="A126" s="19" t="s">
        <v>100</v>
      </c>
      <c r="B126" s="229">
        <v>2766.6</v>
      </c>
      <c r="C126" s="210"/>
      <c r="D126" s="226"/>
      <c r="E126" s="230">
        <v>2720</v>
      </c>
      <c r="F126" s="39"/>
      <c r="G126" s="274" t="s">
        <v>129</v>
      </c>
      <c r="H126" s="233">
        <v>2996</v>
      </c>
      <c r="I126" s="233"/>
      <c r="J126" s="234"/>
      <c r="K126" s="234">
        <v>2996</v>
      </c>
      <c r="L126" s="39"/>
    </row>
    <row r="127" spans="1:14">
      <c r="A127" s="20" t="s">
        <v>101</v>
      </c>
      <c r="B127" s="235"/>
      <c r="C127" s="236"/>
      <c r="D127" s="166"/>
      <c r="E127" s="237"/>
      <c r="F127" s="39"/>
      <c r="G127" s="274" t="s">
        <v>130</v>
      </c>
      <c r="H127" s="166">
        <v>493.76</v>
      </c>
      <c r="I127" s="166"/>
      <c r="J127" s="234"/>
      <c r="K127" s="234">
        <v>2932</v>
      </c>
      <c r="L127" s="39"/>
      <c r="M127" s="238" t="s">
        <v>121</v>
      </c>
      <c r="N127" s="238"/>
    </row>
    <row r="128" spans="1:14">
      <c r="A128" s="20" t="s">
        <v>92</v>
      </c>
      <c r="B128" s="235"/>
      <c r="C128" s="236"/>
      <c r="D128" s="166"/>
      <c r="E128" s="237"/>
      <c r="G128" s="275"/>
      <c r="H128" s="166"/>
      <c r="I128" s="166"/>
      <c r="J128" s="234"/>
      <c r="K128" s="234"/>
      <c r="M128" s="239">
        <f>SUM(B130+H130)</f>
        <v>20299.240000000002</v>
      </c>
      <c r="N128" s="239">
        <f>SUM(E130+K130)</f>
        <v>21984</v>
      </c>
    </row>
    <row r="129" spans="1:14" ht="15.75" thickBot="1">
      <c r="A129" s="174" t="s">
        <v>43</v>
      </c>
      <c r="B129" s="240">
        <v>719.35</v>
      </c>
      <c r="C129" s="183" t="s">
        <v>122</v>
      </c>
      <c r="D129" s="241" t="s">
        <v>135</v>
      </c>
      <c r="E129" s="237"/>
      <c r="F129" s="39"/>
      <c r="G129" s="115"/>
      <c r="H129" s="276"/>
      <c r="I129" s="277"/>
      <c r="J129" s="234"/>
      <c r="K129" s="234"/>
      <c r="L129" s="39"/>
      <c r="M129" s="39"/>
      <c r="N129" s="39"/>
    </row>
    <row r="130" spans="1:14" ht="15.75" thickBot="1">
      <c r="A130" s="176" t="s">
        <v>102</v>
      </c>
      <c r="B130" s="266">
        <f>SUM(B121:B129)</f>
        <v>9604.4600000000009</v>
      </c>
      <c r="C130" s="242">
        <v>9598.4599999999991</v>
      </c>
      <c r="D130" s="244">
        <f>SUM(B130-C130)</f>
        <v>6.000000000001819</v>
      </c>
      <c r="E130" s="267">
        <f>SUM(E121:E129)</f>
        <v>8556</v>
      </c>
      <c r="G130" s="278" t="s">
        <v>102</v>
      </c>
      <c r="H130" s="243">
        <f>SUM(H122:H129)</f>
        <v>10694.78</v>
      </c>
      <c r="I130" s="279"/>
      <c r="J130" s="244">
        <f>SUM(H130-I130)</f>
        <v>10694.78</v>
      </c>
      <c r="K130" s="245">
        <f>SUM(K122:K129)</f>
        <v>13428</v>
      </c>
    </row>
    <row r="132" spans="1:14" ht="15.75" thickBot="1">
      <c r="A132" s="113"/>
      <c r="B132" s="113"/>
      <c r="C132" s="113"/>
      <c r="D132" s="113"/>
      <c r="E132" s="113"/>
      <c r="F132" s="113"/>
      <c r="G132" s="113"/>
      <c r="H132" s="113"/>
    </row>
    <row r="133" spans="1:14">
      <c r="A133" s="293"/>
      <c r="B133" s="293"/>
      <c r="C133" s="177" t="s">
        <v>103</v>
      </c>
      <c r="D133" s="178" t="s">
        <v>104</v>
      </c>
      <c r="E133" s="179" t="s">
        <v>105</v>
      </c>
      <c r="F133" s="293"/>
      <c r="G133" s="293"/>
      <c r="H133" s="293"/>
      <c r="I133" s="90"/>
      <c r="J133" s="90"/>
      <c r="K133" s="90"/>
    </row>
    <row r="134" spans="1:14" ht="15.75" thickBot="1">
      <c r="A134" s="113"/>
      <c r="B134" s="113"/>
      <c r="C134" s="180">
        <f>SUM(B117)</f>
        <v>299847.94</v>
      </c>
      <c r="D134" s="139">
        <f>SUM(C117)</f>
        <v>298057.17</v>
      </c>
      <c r="E134" s="181">
        <f>SUM(C134-D134)</f>
        <v>1790.7700000000186</v>
      </c>
      <c r="F134" s="113"/>
      <c r="G134" s="113"/>
      <c r="H134" s="113"/>
    </row>
    <row r="135" spans="1:14">
      <c r="A135" s="113"/>
      <c r="B135" s="113"/>
      <c r="C135" s="113"/>
      <c r="D135" s="113"/>
      <c r="E135" s="113"/>
      <c r="F135" s="113"/>
      <c r="G135" s="113"/>
      <c r="H135" s="113"/>
    </row>
    <row r="136" spans="1:14">
      <c r="A136" s="113"/>
      <c r="B136" s="113"/>
      <c r="C136" s="113"/>
      <c r="D136" s="113"/>
      <c r="E136" s="113"/>
      <c r="F136" s="113"/>
      <c r="G136" s="113"/>
      <c r="H136" s="113"/>
      <c r="I136" s="39"/>
    </row>
    <row r="137" spans="1:14">
      <c r="A137" s="113"/>
      <c r="B137" s="113"/>
      <c r="C137" s="113"/>
      <c r="D137" s="113"/>
      <c r="E137" s="113"/>
      <c r="F137" s="113"/>
      <c r="G137" s="113"/>
      <c r="H137" s="113"/>
    </row>
    <row r="138" spans="1:14">
      <c r="A138" s="113"/>
      <c r="B138" s="113"/>
      <c r="C138" s="113"/>
      <c r="D138" s="113"/>
      <c r="E138" s="113"/>
      <c r="F138" s="113"/>
      <c r="G138" s="113"/>
      <c r="H138" s="113"/>
    </row>
    <row r="139" spans="1:14">
      <c r="A139" s="113"/>
      <c r="B139" s="113"/>
      <c r="C139" s="113"/>
      <c r="D139" s="113"/>
      <c r="E139" s="113"/>
      <c r="F139" s="113"/>
      <c r="G139" s="113"/>
      <c r="H139" s="113"/>
    </row>
    <row r="140" spans="1:14">
      <c r="A140" s="293"/>
      <c r="B140" s="293"/>
      <c r="C140" s="293"/>
      <c r="D140" s="293"/>
      <c r="E140" s="293"/>
      <c r="F140" s="293"/>
      <c r="G140" s="293"/>
      <c r="H140" s="293"/>
    </row>
    <row r="141" spans="1:14">
      <c r="A141" s="113"/>
      <c r="B141" s="113"/>
      <c r="C141" s="113"/>
      <c r="D141" s="113"/>
      <c r="E141" s="113"/>
      <c r="F141" s="113"/>
      <c r="G141" s="113"/>
      <c r="H141" s="113"/>
    </row>
  </sheetData>
  <mergeCells count="3">
    <mergeCell ref="M114:N114"/>
    <mergeCell ref="M127:N127"/>
    <mergeCell ref="A1:B1"/>
  </mergeCells>
  <pageMargins left="0.7" right="0.7" top="0.78740157499999996" bottom="0.78740157499999996" header="0.3" footer="0.3"/>
  <pageSetup paperSize="9" scale="40" orientation="landscape" horizontalDpi="4294967293" verticalDpi="0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mzdy</vt:lpstr>
      <vt:lpstr>Čerpanie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2020-11-29T13:39:16Z</dcterms:modified>
</cp:coreProperties>
</file>